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codeName="ThisWorkbook"/>
  <mc:AlternateContent xmlns:mc="http://schemas.openxmlformats.org/markup-compatibility/2006">
    <mc:Choice Requires="x15">
      <x15ac:absPath xmlns:x15ac="http://schemas.microsoft.com/office/spreadsheetml/2010/11/ac" url="/Users/nikkot/Documents/1. NK Financial Intelligence/4. Web-site/public/lbo/"/>
    </mc:Choice>
  </mc:AlternateContent>
  <xr:revisionPtr revIDLastSave="0" documentId="13_ncr:1_{F4C17C6E-D97A-954D-B0AB-1C4204B946C1}" xr6:coauthVersionLast="47" xr6:coauthVersionMax="47" xr10:uidLastSave="{00000000-0000-0000-0000-000000000000}"/>
  <bookViews>
    <workbookView xWindow="0" yWindow="720" windowWidth="34560" windowHeight="20280" tabRatio="760" activeTab="1" xr2:uid="{00000000-000D-0000-FFFF-FFFF00000000}"/>
  </bookViews>
  <sheets>
    <sheet name="Title" sheetId="36" r:id="rId1"/>
    <sheet name="Dashboard" sheetId="65" r:id="rId2"/>
    <sheet name="Inputs" sheetId="53" r:id="rId3"/>
    <sheet name="IRR Waterfall" sheetId="55" r:id="rId4"/>
    <sheet name="Transaction" sheetId="60" r:id="rId5"/>
    <sheet name="FS" sheetId="24" r:id="rId6"/>
    <sheet name="Debt Schedule" sheetId="62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7" i="24" l="1"/>
  <c r="D16" i="53"/>
  <c r="D21" i="53" s="1"/>
  <c r="D18" i="60" l="1"/>
  <c r="K47" i="55"/>
  <c r="M47" i="55" s="1"/>
  <c r="K41" i="55"/>
  <c r="O41" i="55" s="1"/>
  <c r="D14" i="53"/>
  <c r="D19" i="53" s="1"/>
  <c r="D24" i="53" s="1"/>
  <c r="D13" i="53"/>
  <c r="D18" i="53" s="1"/>
  <c r="D23" i="53" s="1"/>
  <c r="P41" i="55"/>
  <c r="H41" i="55"/>
  <c r="J13" i="55"/>
  <c r="D6" i="60"/>
  <c r="E12" i="55" s="1"/>
  <c r="K34" i="55"/>
  <c r="J34" i="55" s="1"/>
  <c r="K37" i="24"/>
  <c r="H37" i="24"/>
  <c r="I37" i="24"/>
  <c r="J37" i="24"/>
  <c r="G37" i="24"/>
  <c r="E15" i="55"/>
  <c r="J6" i="55"/>
  <c r="J5" i="55" s="1"/>
  <c r="I6" i="55"/>
  <c r="I5" i="55" s="1"/>
  <c r="H6" i="55"/>
  <c r="H5" i="55" s="1"/>
  <c r="G6" i="55"/>
  <c r="G5" i="55" s="1"/>
  <c r="F6" i="55"/>
  <c r="F5" i="55" s="1"/>
  <c r="E5" i="55"/>
  <c r="F3" i="55"/>
  <c r="G3" i="55" s="1"/>
  <c r="H3" i="55" s="1"/>
  <c r="I3" i="55" s="1"/>
  <c r="J3" i="55" s="1"/>
  <c r="F25" i="60"/>
  <c r="G81" i="62"/>
  <c r="H81" i="62" s="1"/>
  <c r="I81" i="62" s="1"/>
  <c r="J81" i="62" s="1"/>
  <c r="K81" i="62" s="1"/>
  <c r="G79" i="62"/>
  <c r="H79" i="62" s="1"/>
  <c r="I79" i="62" s="1"/>
  <c r="J79" i="62" s="1"/>
  <c r="K79" i="62" s="1"/>
  <c r="G78" i="62"/>
  <c r="H78" i="62" s="1"/>
  <c r="I78" i="62" s="1"/>
  <c r="J78" i="62" s="1"/>
  <c r="K78" i="62" s="1"/>
  <c r="G77" i="62"/>
  <c r="G73" i="62" s="1"/>
  <c r="G74" i="62" s="1"/>
  <c r="F74" i="62"/>
  <c r="F73" i="62"/>
  <c r="F72" i="62"/>
  <c r="G49" i="62"/>
  <c r="G58" i="62"/>
  <c r="H58" i="62" s="1"/>
  <c r="I58" i="62" s="1"/>
  <c r="J58" i="62" s="1"/>
  <c r="K58" i="62" s="1"/>
  <c r="G56" i="62"/>
  <c r="H56" i="62" s="1"/>
  <c r="I56" i="62" s="1"/>
  <c r="J56" i="62" s="1"/>
  <c r="K56" i="62" s="1"/>
  <c r="G55" i="62"/>
  <c r="H55" i="62" s="1"/>
  <c r="I55" i="62" s="1"/>
  <c r="J55" i="62" s="1"/>
  <c r="K55" i="62" s="1"/>
  <c r="G54" i="62"/>
  <c r="H54" i="62" s="1"/>
  <c r="I54" i="62" s="1"/>
  <c r="J54" i="62" s="1"/>
  <c r="K54" i="62" s="1"/>
  <c r="G25" i="62"/>
  <c r="H47" i="55" l="1"/>
  <c r="J41" i="55"/>
  <c r="F41" i="55"/>
  <c r="G41" i="55"/>
  <c r="I41" i="55"/>
  <c r="G47" i="55"/>
  <c r="L41" i="55"/>
  <c r="M41" i="55"/>
  <c r="N41" i="55"/>
  <c r="F47" i="55"/>
  <c r="L47" i="55"/>
  <c r="J47" i="55"/>
  <c r="P47" i="55"/>
  <c r="I47" i="55"/>
  <c r="N47" i="55"/>
  <c r="O47" i="55"/>
  <c r="I34" i="55"/>
  <c r="G34" i="55"/>
  <c r="F34" i="55"/>
  <c r="L34" i="55"/>
  <c r="P34" i="55"/>
  <c r="O34" i="55"/>
  <c r="N34" i="55"/>
  <c r="H34" i="55"/>
  <c r="M34" i="55"/>
  <c r="H77" i="62"/>
  <c r="I77" i="62" s="1"/>
  <c r="J77" i="62" s="1"/>
  <c r="K77" i="62" s="1"/>
  <c r="F75" i="62"/>
  <c r="G72" i="62" s="1"/>
  <c r="G75" i="62" s="1"/>
  <c r="H72" i="62" s="1"/>
  <c r="G34" i="62"/>
  <c r="H34" i="62" s="1"/>
  <c r="I34" i="62" s="1"/>
  <c r="J34" i="62" s="1"/>
  <c r="K34" i="62" s="1"/>
  <c r="G32" i="62"/>
  <c r="G31" i="62"/>
  <c r="G30" i="62"/>
  <c r="H30" i="62" s="1"/>
  <c r="I30" i="62" s="1"/>
  <c r="J30" i="62" s="1"/>
  <c r="K30" i="62" s="1"/>
  <c r="K5" i="62"/>
  <c r="K4" i="62" s="1"/>
  <c r="J5" i="62"/>
  <c r="J4" i="62" s="1"/>
  <c r="I5" i="62"/>
  <c r="I4" i="62" s="1"/>
  <c r="H5" i="62"/>
  <c r="H4" i="62" s="1"/>
  <c r="G5" i="62"/>
  <c r="G4" i="62" s="1"/>
  <c r="E4" i="62"/>
  <c r="G2" i="62"/>
  <c r="H2" i="62" s="1"/>
  <c r="G44" i="24"/>
  <c r="H44" i="24" s="1"/>
  <c r="I44" i="24" s="1"/>
  <c r="J44" i="24" s="1"/>
  <c r="K44" i="24" s="1"/>
  <c r="D13" i="60"/>
  <c r="F58" i="24"/>
  <c r="F50" i="24"/>
  <c r="F49" i="24"/>
  <c r="F48" i="24"/>
  <c r="F46" i="24"/>
  <c r="F44" i="24"/>
  <c r="E59" i="24"/>
  <c r="E72" i="24"/>
  <c r="E51" i="24"/>
  <c r="H70" i="24"/>
  <c r="I70" i="24"/>
  <c r="J70" i="24"/>
  <c r="K70" i="24"/>
  <c r="G70" i="24"/>
  <c r="E79" i="24"/>
  <c r="G77" i="24" s="1"/>
  <c r="G10" i="62" s="1"/>
  <c r="E30" i="24"/>
  <c r="H16" i="24"/>
  <c r="I16" i="24"/>
  <c r="J16" i="24"/>
  <c r="K16" i="24"/>
  <c r="G16" i="24"/>
  <c r="E13" i="24"/>
  <c r="E17" i="24" s="1"/>
  <c r="E22" i="24" s="1"/>
  <c r="E26" i="24" s="1"/>
  <c r="E28" i="24" s="1"/>
  <c r="G11" i="24"/>
  <c r="H11" i="24" s="1"/>
  <c r="I11" i="24" s="1"/>
  <c r="J11" i="24" s="1"/>
  <c r="K11" i="24" s="1"/>
  <c r="E4" i="24"/>
  <c r="K5" i="24"/>
  <c r="K4" i="24" s="1"/>
  <c r="J5" i="24"/>
  <c r="J4" i="24" s="1"/>
  <c r="I5" i="24"/>
  <c r="I4" i="24" s="1"/>
  <c r="H5" i="24"/>
  <c r="H4" i="24" s="1"/>
  <c r="G5" i="24"/>
  <c r="G4" i="24" s="1"/>
  <c r="G2" i="24"/>
  <c r="H2" i="24" s="1"/>
  <c r="I2" i="24" s="1"/>
  <c r="J2" i="24" s="1"/>
  <c r="K2" i="24" s="1"/>
  <c r="D5" i="53"/>
  <c r="E2" i="53"/>
  <c r="D5" i="60" l="1"/>
  <c r="E11" i="55"/>
  <c r="E14" i="55" s="1"/>
  <c r="E16" i="55" s="1"/>
  <c r="D30" i="53"/>
  <c r="D34" i="53" s="1"/>
  <c r="D38" i="53" s="1"/>
  <c r="D29" i="53"/>
  <c r="D33" i="53" s="1"/>
  <c r="D37" i="53" s="1"/>
  <c r="D28" i="53"/>
  <c r="D32" i="53" s="1"/>
  <c r="D36" i="53" s="1"/>
  <c r="J73" i="62"/>
  <c r="J74" i="62" s="1"/>
  <c r="H73" i="62"/>
  <c r="H74" i="62" s="1"/>
  <c r="I2" i="62"/>
  <c r="H68" i="62"/>
  <c r="I73" i="62"/>
  <c r="I74" i="62" s="1"/>
  <c r="H32" i="62"/>
  <c r="H31" i="62"/>
  <c r="G46" i="24"/>
  <c r="H49" i="24"/>
  <c r="I49" i="24"/>
  <c r="J49" i="24"/>
  <c r="K49" i="24"/>
  <c r="G49" i="24"/>
  <c r="E18" i="24"/>
  <c r="G20" i="24"/>
  <c r="K20" i="24"/>
  <c r="E27" i="24"/>
  <c r="E32" i="24"/>
  <c r="E35" i="24" s="1"/>
  <c r="J20" i="24"/>
  <c r="H13" i="24"/>
  <c r="H14" i="24" s="1"/>
  <c r="H20" i="24"/>
  <c r="I20" i="24"/>
  <c r="I13" i="24"/>
  <c r="I14" i="24" s="1"/>
  <c r="G13" i="24"/>
  <c r="G14" i="24" s="1"/>
  <c r="K13" i="24"/>
  <c r="J13" i="24"/>
  <c r="J14" i="24" s="1"/>
  <c r="E14" i="24"/>
  <c r="D12" i="53" s="1"/>
  <c r="D17" i="53" s="1"/>
  <c r="D22" i="53" s="1"/>
  <c r="I69" i="24"/>
  <c r="I12" i="62" s="1"/>
  <c r="K69" i="24"/>
  <c r="K12" i="62" s="1"/>
  <c r="J69" i="24"/>
  <c r="J12" i="62" s="1"/>
  <c r="G69" i="24"/>
  <c r="G12" i="62" s="1"/>
  <c r="E69" i="24"/>
  <c r="H69" i="24"/>
  <c r="H12" i="62" s="1"/>
  <c r="E60" i="24"/>
  <c r="D7" i="53"/>
  <c r="F2" i="53"/>
  <c r="E7" i="53"/>
  <c r="D12" i="60" l="1"/>
  <c r="D14" i="60" s="1"/>
  <c r="F45" i="24" s="1"/>
  <c r="F51" i="24" s="1"/>
  <c r="H75" i="62"/>
  <c r="I72" i="62" s="1"/>
  <c r="I75" i="62" s="1"/>
  <c r="J72" i="62" s="1"/>
  <c r="J75" i="62" s="1"/>
  <c r="J2" i="62"/>
  <c r="K2" i="62" s="1"/>
  <c r="K68" i="62" s="1"/>
  <c r="I68" i="62"/>
  <c r="I32" i="62"/>
  <c r="I31" i="62"/>
  <c r="G24" i="24"/>
  <c r="G30" i="24" s="1"/>
  <c r="H46" i="24"/>
  <c r="I12" i="24"/>
  <c r="I17" i="24"/>
  <c r="I18" i="24" s="1"/>
  <c r="H12" i="24"/>
  <c r="H17" i="24"/>
  <c r="H18" i="24" s="1"/>
  <c r="J12" i="24"/>
  <c r="K14" i="24"/>
  <c r="K12" i="24"/>
  <c r="G12" i="24"/>
  <c r="G17" i="24"/>
  <c r="J17" i="24"/>
  <c r="J18" i="24" s="1"/>
  <c r="K17" i="24"/>
  <c r="E6" i="53"/>
  <c r="E5" i="53" s="1"/>
  <c r="F7" i="53"/>
  <c r="F6" i="53" s="1"/>
  <c r="F5" i="53" s="1"/>
  <c r="G2" i="53"/>
  <c r="D20" i="60" l="1"/>
  <c r="G45" i="24"/>
  <c r="H45" i="24" s="1"/>
  <c r="I45" i="24" s="1"/>
  <c r="J45" i="24" s="1"/>
  <c r="K45" i="24" s="1"/>
  <c r="G58" i="24"/>
  <c r="G48" i="24"/>
  <c r="J32" i="62"/>
  <c r="J31" i="62"/>
  <c r="I46" i="24"/>
  <c r="J46" i="24" s="1"/>
  <c r="K46" i="24" s="1"/>
  <c r="H24" i="24"/>
  <c r="H30" i="24" s="1"/>
  <c r="K48" i="24"/>
  <c r="K58" i="24"/>
  <c r="J48" i="24"/>
  <c r="J58" i="24"/>
  <c r="H48" i="24"/>
  <c r="H58" i="24"/>
  <c r="I48" i="24"/>
  <c r="I58" i="24"/>
  <c r="H22" i="24"/>
  <c r="I22" i="24"/>
  <c r="K18" i="24"/>
  <c r="K22" i="24"/>
  <c r="G18" i="24"/>
  <c r="G22" i="24"/>
  <c r="G26" i="24" s="1"/>
  <c r="G32" i="24" s="1"/>
  <c r="J22" i="24"/>
  <c r="H2" i="53"/>
  <c r="G7" i="53"/>
  <c r="G6" i="53" s="1"/>
  <c r="D19" i="60" l="1"/>
  <c r="E19" i="60" s="1"/>
  <c r="E20" i="60"/>
  <c r="F43" i="62"/>
  <c r="F46" i="62" s="1"/>
  <c r="G42" i="62" s="1"/>
  <c r="F66" i="62"/>
  <c r="F69" i="62" s="1"/>
  <c r="G65" i="62" s="1"/>
  <c r="G67" i="62" s="1"/>
  <c r="G69" i="62" s="1"/>
  <c r="H65" i="62" s="1"/>
  <c r="H67" i="62" s="1"/>
  <c r="H69" i="62" s="1"/>
  <c r="I65" i="62" s="1"/>
  <c r="I67" i="62" s="1"/>
  <c r="I69" i="62" s="1"/>
  <c r="J65" i="62" s="1"/>
  <c r="J68" i="62" s="1"/>
  <c r="J67" i="62" s="1"/>
  <c r="J69" i="62" s="1"/>
  <c r="K65" i="62" s="1"/>
  <c r="K67" i="62" s="1"/>
  <c r="F18" i="62"/>
  <c r="F22" i="62" s="1"/>
  <c r="G17" i="62" s="1"/>
  <c r="F56" i="24"/>
  <c r="K32" i="62"/>
  <c r="K31" i="62"/>
  <c r="H26" i="24"/>
  <c r="H32" i="24" s="1"/>
  <c r="H67" i="24"/>
  <c r="J67" i="24"/>
  <c r="G67" i="24"/>
  <c r="K67" i="24"/>
  <c r="I67" i="24"/>
  <c r="I24" i="24"/>
  <c r="I30" i="24" s="1"/>
  <c r="H7" i="53"/>
  <c r="H6" i="53" s="1"/>
  <c r="I2" i="53"/>
  <c r="G19" i="62" l="1"/>
  <c r="G26" i="62"/>
  <c r="G50" i="62"/>
  <c r="G44" i="62"/>
  <c r="G46" i="62" s="1"/>
  <c r="H42" i="62" s="1"/>
  <c r="G51" i="62"/>
  <c r="E20" i="55"/>
  <c r="F53" i="24"/>
  <c r="F59" i="24" s="1"/>
  <c r="F60" i="24" s="1"/>
  <c r="K69" i="62"/>
  <c r="I26" i="24"/>
  <c r="I32" i="24" s="1"/>
  <c r="J24" i="24"/>
  <c r="J2" i="53"/>
  <c r="J7" i="53" s="1"/>
  <c r="I7" i="53"/>
  <c r="I6" i="53" s="1"/>
  <c r="E23" i="55" l="1"/>
  <c r="H44" i="62"/>
  <c r="H46" i="62" s="1"/>
  <c r="I42" i="62" s="1"/>
  <c r="H50" i="62"/>
  <c r="H51" i="62" s="1"/>
  <c r="G52" i="62"/>
  <c r="H49" i="62" s="1"/>
  <c r="G33" i="24"/>
  <c r="G35" i="24" s="1"/>
  <c r="G36" i="24" s="1"/>
  <c r="G39" i="24" s="1"/>
  <c r="H75" i="24" s="1"/>
  <c r="G22" i="55" s="1"/>
  <c r="G23" i="55" s="1"/>
  <c r="G27" i="62"/>
  <c r="G74" i="24" s="1"/>
  <c r="J30" i="24"/>
  <c r="J26" i="24"/>
  <c r="K24" i="24"/>
  <c r="J6" i="53"/>
  <c r="G28" i="62" l="1"/>
  <c r="H25" i="62" s="1"/>
  <c r="I44" i="62"/>
  <c r="I46" i="62" s="1"/>
  <c r="J42" i="62" s="1"/>
  <c r="I50" i="62"/>
  <c r="I51" i="62" s="1"/>
  <c r="H52" i="62"/>
  <c r="I49" i="62" s="1"/>
  <c r="K30" i="24"/>
  <c r="K26" i="24"/>
  <c r="J11" i="55" s="1"/>
  <c r="J14" i="55" s="1"/>
  <c r="J32" i="24"/>
  <c r="E65" i="24"/>
  <c r="I52" i="62" l="1"/>
  <c r="J49" i="62" s="1"/>
  <c r="J44" i="62"/>
  <c r="J46" i="62" s="1"/>
  <c r="K42" i="62" s="1"/>
  <c r="J50" i="62"/>
  <c r="J51" i="62" s="1"/>
  <c r="K32" i="24"/>
  <c r="G65" i="24"/>
  <c r="J52" i="62" l="1"/>
  <c r="K49" i="62" s="1"/>
  <c r="K44" i="62"/>
  <c r="K46" i="62" s="1"/>
  <c r="K50" i="62"/>
  <c r="K51" i="62" s="1"/>
  <c r="E37" i="24"/>
  <c r="D48" i="53" s="1"/>
  <c r="E66" i="24"/>
  <c r="K52" i="62" l="1"/>
  <c r="H65" i="24"/>
  <c r="I65" i="24"/>
  <c r="H27" i="24" l="1"/>
  <c r="I27" i="24"/>
  <c r="J65" i="24"/>
  <c r="J27" i="24" l="1"/>
  <c r="K65" i="24" l="1"/>
  <c r="K27" i="24"/>
  <c r="E39" i="24"/>
  <c r="G75" i="24" s="1"/>
  <c r="F22" i="55" s="1"/>
  <c r="F23" i="55" s="1"/>
  <c r="G53" i="24" l="1"/>
  <c r="E40" i="24"/>
  <c r="E64" i="24" l="1"/>
  <c r="E78" i="24" s="1"/>
  <c r="G66" i="24" l="1"/>
  <c r="G64" i="24" l="1"/>
  <c r="G82" i="24" s="1"/>
  <c r="G40" i="24"/>
  <c r="G11" i="62" l="1"/>
  <c r="G9" i="62" s="1"/>
  <c r="G36" i="62" l="1"/>
  <c r="G60" i="62" l="1"/>
  <c r="G83" i="62" s="1"/>
  <c r="G37" i="62" s="1"/>
  <c r="G21" i="62" s="1"/>
  <c r="G22" i="62" l="1"/>
  <c r="G73" i="24"/>
  <c r="G72" i="24" l="1"/>
  <c r="G78" i="24" s="1"/>
  <c r="G79" i="24" s="1"/>
  <c r="H77" i="24" s="1"/>
  <c r="H17" i="62"/>
  <c r="G56" i="24"/>
  <c r="G28" i="24" s="1"/>
  <c r="H10" i="62" l="1"/>
  <c r="G59" i="24"/>
  <c r="G50" i="24"/>
  <c r="G51" i="24" s="1"/>
  <c r="H19" i="62"/>
  <c r="H26" i="62"/>
  <c r="G60" i="24" l="1"/>
  <c r="H33" i="24"/>
  <c r="H35" i="24" s="1"/>
  <c r="H36" i="24" s="1"/>
  <c r="H27" i="62"/>
  <c r="H74" i="24" l="1"/>
  <c r="H28" i="62"/>
  <c r="I25" i="62" s="1"/>
  <c r="H39" i="24"/>
  <c r="H66" i="24"/>
  <c r="H64" i="24" s="1"/>
  <c r="H82" i="24" s="1"/>
  <c r="H11" i="62" l="1"/>
  <c r="H9" i="62" s="1"/>
  <c r="H36" i="62" s="1"/>
  <c r="H60" i="62" s="1"/>
  <c r="H83" i="62" s="1"/>
  <c r="H37" i="62" s="1"/>
  <c r="H21" i="62" s="1"/>
  <c r="H22" i="62" s="1"/>
  <c r="I75" i="24"/>
  <c r="H22" i="55" s="1"/>
  <c r="H23" i="55" s="1"/>
  <c r="H53" i="24"/>
  <c r="H40" i="24"/>
  <c r="H73" i="24" l="1"/>
  <c r="H72" i="24" s="1"/>
  <c r="H78" i="24" s="1"/>
  <c r="H79" i="24" s="1"/>
  <c r="H50" i="24" s="1"/>
  <c r="H51" i="24" s="1"/>
  <c r="I17" i="62"/>
  <c r="H56" i="24"/>
  <c r="H28" i="24" s="1"/>
  <c r="H59" i="24" l="1"/>
  <c r="H60" i="24" s="1"/>
  <c r="I77" i="24"/>
  <c r="I19" i="62"/>
  <c r="I26" i="62"/>
  <c r="I10" i="62" l="1"/>
  <c r="I33" i="24"/>
  <c r="I35" i="24" s="1"/>
  <c r="I27" i="62"/>
  <c r="I74" i="24" s="1"/>
  <c r="I28" i="62" l="1"/>
  <c r="J25" i="62" s="1"/>
  <c r="I36" i="24"/>
  <c r="I66" i="24" s="1"/>
  <c r="I64" i="24" s="1"/>
  <c r="I82" i="24" s="1"/>
  <c r="I11" i="62" l="1"/>
  <c r="I9" i="62" s="1"/>
  <c r="I36" i="62" s="1"/>
  <c r="I60" i="62" s="1"/>
  <c r="I83" i="62" s="1"/>
  <c r="I37" i="62" s="1"/>
  <c r="I21" i="62" s="1"/>
  <c r="I22" i="62" s="1"/>
  <c r="I39" i="24"/>
  <c r="I40" i="24" s="1"/>
  <c r="I73" i="24" l="1"/>
  <c r="I72" i="24" s="1"/>
  <c r="I78" i="24" s="1"/>
  <c r="I79" i="24" s="1"/>
  <c r="I50" i="24" s="1"/>
  <c r="I51" i="24" s="1"/>
  <c r="I53" i="24"/>
  <c r="J75" i="24"/>
  <c r="I22" i="55" s="1"/>
  <c r="I23" i="55" s="1"/>
  <c r="I56" i="24"/>
  <c r="J17" i="62"/>
  <c r="I28" i="24" l="1"/>
  <c r="J77" i="24"/>
  <c r="I59" i="24"/>
  <c r="I60" i="24" s="1"/>
  <c r="J19" i="62"/>
  <c r="J26" i="62"/>
  <c r="J10" i="62" l="1"/>
  <c r="J27" i="62"/>
  <c r="J74" i="24" s="1"/>
  <c r="J33" i="24"/>
  <c r="J35" i="24" s="1"/>
  <c r="J28" i="62" l="1"/>
  <c r="K25" i="62" s="1"/>
  <c r="J36" i="24"/>
  <c r="J66" i="24" s="1"/>
  <c r="J64" i="24" s="1"/>
  <c r="J82" i="24" s="1"/>
  <c r="J11" i="62" l="1"/>
  <c r="J9" i="62" s="1"/>
  <c r="J36" i="62" s="1"/>
  <c r="J60" i="62" s="1"/>
  <c r="J83" i="62" s="1"/>
  <c r="J37" i="62" s="1"/>
  <c r="J21" i="62" s="1"/>
  <c r="J73" i="24" s="1"/>
  <c r="J72" i="24" s="1"/>
  <c r="J78" i="24" s="1"/>
  <c r="J79" i="24" s="1"/>
  <c r="J39" i="24"/>
  <c r="K75" i="24" s="1"/>
  <c r="J22" i="55" s="1"/>
  <c r="J22" i="62" l="1"/>
  <c r="K17" i="62" s="1"/>
  <c r="J53" i="24"/>
  <c r="J40" i="24"/>
  <c r="K77" i="24"/>
  <c r="J50" i="24"/>
  <c r="J51" i="24" s="1"/>
  <c r="K10" i="62" l="1"/>
  <c r="J56" i="24"/>
  <c r="J28" i="24" s="1"/>
  <c r="K19" i="62"/>
  <c r="K26" i="62"/>
  <c r="J59" i="24" l="1"/>
  <c r="J60" i="24" s="1"/>
  <c r="K33" i="24"/>
  <c r="K35" i="24" s="1"/>
  <c r="K27" i="62"/>
  <c r="K74" i="24" s="1"/>
  <c r="K28" i="62" l="1"/>
  <c r="K36" i="24"/>
  <c r="K66" i="24" s="1"/>
  <c r="K64" i="24" s="1"/>
  <c r="K82" i="24" s="1"/>
  <c r="K11" i="62" l="1"/>
  <c r="K9" i="62" s="1"/>
  <c r="K36" i="62" s="1"/>
  <c r="K60" i="62" s="1"/>
  <c r="K83" i="62" s="1"/>
  <c r="K37" i="62" s="1"/>
  <c r="K21" i="62" s="1"/>
  <c r="K22" i="62" s="1"/>
  <c r="K56" i="24" s="1"/>
  <c r="K39" i="24"/>
  <c r="K40" i="24" s="1"/>
  <c r="K28" i="24" l="1"/>
  <c r="K73" i="24"/>
  <c r="K53" i="24"/>
  <c r="K59" i="24" s="1"/>
  <c r="K72" i="24" l="1"/>
  <c r="K78" i="24" s="1"/>
  <c r="K79" i="24" s="1"/>
  <c r="K50" i="24" s="1"/>
  <c r="K51" i="24" l="1"/>
  <c r="K60" i="24" s="1"/>
  <c r="J15" i="55"/>
  <c r="J16" i="55" s="1"/>
  <c r="J21" i="55" s="1"/>
  <c r="J23" i="55" s="1"/>
  <c r="J25" i="55" l="1"/>
  <c r="E24" i="55"/>
  <c r="E36" i="55" s="1"/>
  <c r="E43" i="55" l="1"/>
  <c r="E49" i="55"/>
</calcChain>
</file>

<file path=xl/sharedStrings.xml><?xml version="1.0" encoding="utf-8"?>
<sst xmlns="http://schemas.openxmlformats.org/spreadsheetml/2006/main" count="445" uniqueCount="148">
  <si>
    <t>4Q</t>
  </si>
  <si>
    <t>%</t>
  </si>
  <si>
    <t>Assets</t>
  </si>
  <si>
    <t>Cash</t>
  </si>
  <si>
    <t>Opening cash</t>
  </si>
  <si>
    <t>Net change</t>
  </si>
  <si>
    <t>Closing cash</t>
  </si>
  <si>
    <t>EBITDA</t>
  </si>
  <si>
    <t>EBIT</t>
  </si>
  <si>
    <t>EBT</t>
  </si>
  <si>
    <t>Net profit</t>
  </si>
  <si>
    <t>Net profit margin</t>
  </si>
  <si>
    <t>Year</t>
  </si>
  <si>
    <t>End of the eriod</t>
  </si>
  <si>
    <t>Revenues</t>
  </si>
  <si>
    <t>Quarter</t>
  </si>
  <si>
    <t>Months</t>
  </si>
  <si>
    <t>Interest expenses</t>
  </si>
  <si>
    <t>Inventory</t>
  </si>
  <si>
    <t>Account receivables</t>
  </si>
  <si>
    <t>Equity &amp; Liability</t>
  </si>
  <si>
    <t>Financial debt</t>
  </si>
  <si>
    <t>Account payables</t>
  </si>
  <si>
    <t>CAPEX</t>
  </si>
  <si>
    <t>+/- NWC</t>
  </si>
  <si>
    <t>Operating CF</t>
  </si>
  <si>
    <t>Investing CF</t>
  </si>
  <si>
    <t>- CAPEX</t>
  </si>
  <si>
    <t>Financing CF</t>
  </si>
  <si>
    <t>Accumulated depreciation</t>
  </si>
  <si>
    <t>diff</t>
  </si>
  <si>
    <t>Days</t>
  </si>
  <si>
    <t>EV/EBITDA</t>
  </si>
  <si>
    <t>Income tax</t>
  </si>
  <si>
    <t>- Dividends</t>
  </si>
  <si>
    <t>- Corporate tax</t>
  </si>
  <si>
    <t>Equity</t>
  </si>
  <si>
    <t>Effective tax rate</t>
  </si>
  <si>
    <t>EBITDA margin</t>
  </si>
  <si>
    <t>LEVERAGED BUY-OUT MODEL</t>
  </si>
  <si>
    <t>Debt</t>
  </si>
  <si>
    <t>Current EBITDA of the Target</t>
  </si>
  <si>
    <t>Net debt</t>
  </si>
  <si>
    <t>Target stake</t>
  </si>
  <si>
    <t>Stake</t>
  </si>
  <si>
    <t>Current deal</t>
  </si>
  <si>
    <t>Actual</t>
  </si>
  <si>
    <t>Forecast</t>
  </si>
  <si>
    <t>Type of period</t>
  </si>
  <si>
    <t>Proift and loss</t>
  </si>
  <si>
    <t>Balance Sheet</t>
  </si>
  <si>
    <t>Cash flow</t>
  </si>
  <si>
    <t>Gross profit</t>
  </si>
  <si>
    <t>Direct costs</t>
  </si>
  <si>
    <t>Contribution margin</t>
  </si>
  <si>
    <t>Direct overheads</t>
  </si>
  <si>
    <t>Operating profit</t>
  </si>
  <si>
    <t>+ Depreciation &amp; Amortization</t>
  </si>
  <si>
    <t>Mini</t>
  </si>
  <si>
    <t>Revenues growth</t>
  </si>
  <si>
    <t>Overhead costs</t>
  </si>
  <si>
    <t>SGA as % of revenues</t>
  </si>
  <si>
    <t>PL assumptions</t>
  </si>
  <si>
    <t>Capital structuring of the deal</t>
  </si>
  <si>
    <t>Start of the period</t>
  </si>
  <si>
    <t>Fact</t>
  </si>
  <si>
    <t>Senior Term Loan (TLB)</t>
  </si>
  <si>
    <t>Mezzanine Debt</t>
  </si>
  <si>
    <t>Debt structure</t>
  </si>
  <si>
    <t>Weight</t>
  </si>
  <si>
    <t>Tenor</t>
  </si>
  <si>
    <t>Cash Sweep</t>
  </si>
  <si>
    <t>ON</t>
  </si>
  <si>
    <t>OFF</t>
  </si>
  <si>
    <t>Amortization</t>
  </si>
  <si>
    <t>Cash interest</t>
  </si>
  <si>
    <t>PIK interest</t>
  </si>
  <si>
    <t>PIK Note</t>
  </si>
  <si>
    <t>Contribution profit</t>
  </si>
  <si>
    <t>Gross profit margin</t>
  </si>
  <si>
    <t>SGA</t>
  </si>
  <si>
    <t>- Depreciation &amp; Amortization</t>
  </si>
  <si>
    <t>Dividends</t>
  </si>
  <si>
    <t>Dividend payout</t>
  </si>
  <si>
    <t>Initial PPE value</t>
  </si>
  <si>
    <t>Usefull life</t>
  </si>
  <si>
    <t>- Debt repayments</t>
  </si>
  <si>
    <t>OperCo</t>
  </si>
  <si>
    <t>NewCo</t>
  </si>
  <si>
    <t>NAV</t>
  </si>
  <si>
    <t>Premium</t>
  </si>
  <si>
    <t>Residual equity part</t>
  </si>
  <si>
    <t>Goodwill</t>
  </si>
  <si>
    <t>Senior Debt</t>
  </si>
  <si>
    <t>Open balance</t>
  </si>
  <si>
    <t>+ Proceeds</t>
  </si>
  <si>
    <t>Closing balance</t>
  </si>
  <si>
    <t>operating flow</t>
  </si>
  <si>
    <t>Cash sweep</t>
  </si>
  <si>
    <t>+ Interest accrued</t>
  </si>
  <si>
    <t>- Interest paid</t>
  </si>
  <si>
    <t>Cash available for debt serving</t>
  </si>
  <si>
    <t>- Cash sweep</t>
  </si>
  <si>
    <t xml:space="preserve">Caah available after Senior Debt </t>
  </si>
  <si>
    <t>Caah available after Mezzanine</t>
  </si>
  <si>
    <t>Caah available after PIK note</t>
  </si>
  <si>
    <t>+ PIK capitalisation</t>
  </si>
  <si>
    <t>- Amortization</t>
  </si>
  <si>
    <t>- Redemtion</t>
  </si>
  <si>
    <t>+ PIK capitalization</t>
  </si>
  <si>
    <t>Cash sweep base</t>
  </si>
  <si>
    <t xml:space="preserve">k € </t>
  </si>
  <si>
    <t>Transaction</t>
  </si>
  <si>
    <t>Calculations</t>
  </si>
  <si>
    <t>Debt body</t>
  </si>
  <si>
    <t>Cash interests</t>
  </si>
  <si>
    <t>- Cash interests</t>
  </si>
  <si>
    <t>Investments</t>
  </si>
  <si>
    <t>Enterprise Value</t>
  </si>
  <si>
    <t>- Net Debt</t>
  </si>
  <si>
    <t>Equity value</t>
  </si>
  <si>
    <t>Exit</t>
  </si>
  <si>
    <t>Private Equity CF</t>
  </si>
  <si>
    <t>IRR</t>
  </si>
  <si>
    <t>Investor CF</t>
  </si>
  <si>
    <t>OperCo Valuation</t>
  </si>
  <si>
    <t>NWC turnover</t>
  </si>
  <si>
    <t>days</t>
  </si>
  <si>
    <t>Account Receivables</t>
  </si>
  <si>
    <t>Account Payables</t>
  </si>
  <si>
    <t>Propety, plant and equipment</t>
  </si>
  <si>
    <t>Tax</t>
  </si>
  <si>
    <t>Corporate tax rate</t>
  </si>
  <si>
    <t>Initial Debt / EBITDA</t>
  </si>
  <si>
    <t>Input EV/EBITDA</t>
  </si>
  <si>
    <t>Tech</t>
  </si>
  <si>
    <t>Exit EV/EBITDA</t>
  </si>
  <si>
    <t>Initial leverage (EV/EBITDA)</t>
  </si>
  <si>
    <t>-</t>
  </si>
  <si>
    <t>(a) Pessimistic scenario</t>
  </si>
  <si>
    <t>(b) Base scenario</t>
  </si>
  <si>
    <t>(c) Optimistic scenario</t>
  </si>
  <si>
    <t>(b) Base scnenario</t>
  </si>
  <si>
    <t>MOIC</t>
  </si>
  <si>
    <t>Debt / EBITDA</t>
  </si>
  <si>
    <t>(x)</t>
  </si>
  <si>
    <t>Technical parameters</t>
  </si>
  <si>
    <t>CFADS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</si>
</sst>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3" formatCode="_-* #,##0.00_-;\-* #,##0.00_-;_-* &quot;-&quot;??_-;_-@_-"/>
    <numFmt numFmtId="164" formatCode="#,##0.0&quot; &quot;;\(#,##0.0\);\-&quot; &quot;"/>
    <numFmt numFmtId="165" formatCode="0.0%"/>
    <numFmt numFmtId="166" formatCode="_-* #,##0.0_-;\-* #,##0.0_-;_-* &quot;-&quot;??_-;_-@_-"/>
    <numFmt numFmtId="167" formatCode="#,##0.0"/>
    <numFmt numFmtId="168" formatCode="_-* #,##0.0\ _R_U_B_-;\-* #,##0.0\ _R_U_B_-;_-* &quot;-&quot;?\ _R_U_B_-;_-@_-"/>
    <numFmt numFmtId="169" formatCode="_-* #,##0_-;\-* #,##0_-;_-* &quot;-&quot;??_-;_-@_-"/>
    <numFmt numFmtId="170" formatCode="#,##0.0\(\x\)&quot; &quot;;\(#,##0.0\);\-&quot; &quot;"/>
    <numFmt numFmtId="171" formatCode="#,##0.0_ ;\-#,##0.0\ "/>
  </numFmts>
  <fonts count="45">
    <font>
      <sz val="11"/>
      <color theme="1"/>
      <name val="Montserrat Medium"/>
      <family val="2"/>
      <scheme val="minor"/>
    </font>
    <font>
      <sz val="11"/>
      <color theme="1"/>
      <name val="Montserrat Medium"/>
      <family val="2"/>
      <charset val="204"/>
      <scheme val="minor"/>
    </font>
    <font>
      <sz val="11"/>
      <color theme="1"/>
      <name val="Montserrat Medium"/>
      <family val="2"/>
      <scheme val="minor"/>
    </font>
    <font>
      <sz val="7"/>
      <color theme="0" tint="-0.499984740745262"/>
      <name val="Montserrat Light"/>
    </font>
    <font>
      <sz val="7"/>
      <color theme="1"/>
      <name val="Montserrat Light"/>
    </font>
    <font>
      <sz val="7"/>
      <color theme="0" tint="-0.499984740745262"/>
      <name val="Montserrat Regular"/>
    </font>
    <font>
      <sz val="7"/>
      <color theme="1"/>
      <name val="Montserrat Regular"/>
    </font>
    <font>
      <sz val="8"/>
      <color theme="1"/>
      <name val="Montserrat Light"/>
    </font>
    <font>
      <b/>
      <sz val="8"/>
      <color theme="1"/>
      <name val="Montserrat Light"/>
    </font>
    <font>
      <sz val="8"/>
      <color theme="0" tint="-0.499984740745262"/>
      <name val="Montserrat Light"/>
    </font>
    <font>
      <sz val="11"/>
      <color theme="8" tint="-0.749992370372631"/>
      <name val="Montserrat Medium"/>
      <family val="2"/>
      <scheme val="minor"/>
    </font>
    <font>
      <sz val="11"/>
      <color theme="8" tint="-0.749992370372631"/>
      <name val="Rubik"/>
    </font>
    <font>
      <sz val="18"/>
      <color theme="8" tint="-0.749992370372631"/>
      <name val="Montserrat Medium"/>
      <family val="2"/>
      <scheme val="minor"/>
    </font>
    <font>
      <sz val="8"/>
      <color theme="1"/>
      <name val="Montserrat Regular"/>
    </font>
    <font>
      <sz val="8"/>
      <color theme="0"/>
      <name val="Montserrat Regular"/>
    </font>
    <font>
      <b/>
      <sz val="8"/>
      <color theme="1"/>
      <name val="Montserrat Regular"/>
    </font>
    <font>
      <sz val="11"/>
      <color rgb="FFFF0000"/>
      <name val="Montserrat Medium"/>
      <family val="2"/>
      <scheme val="minor"/>
    </font>
    <font>
      <sz val="8"/>
      <color theme="1"/>
      <name val="Montserrat Medium"/>
      <family val="2"/>
      <scheme val="minor"/>
    </font>
    <font>
      <b/>
      <sz val="8"/>
      <color theme="0"/>
      <name val="Montserrat Regular"/>
    </font>
    <font>
      <sz val="9"/>
      <color theme="1"/>
      <name val="Montserrat Regular"/>
    </font>
    <font>
      <sz val="10"/>
      <color theme="0"/>
      <name val="Montserrat Light"/>
    </font>
    <font>
      <sz val="10"/>
      <color theme="1"/>
      <name val="Montserrat Medium"/>
      <family val="2"/>
      <scheme val="minor"/>
    </font>
    <font>
      <sz val="10"/>
      <color theme="1"/>
      <name val="Montserrat Regular"/>
    </font>
    <font>
      <b/>
      <sz val="10"/>
      <color theme="1"/>
      <name val="Montserrat Regular"/>
    </font>
    <font>
      <sz val="10"/>
      <color rgb="FF0070C0"/>
      <name val="Montserrat Medium"/>
      <family val="2"/>
      <scheme val="minor"/>
    </font>
    <font>
      <sz val="8"/>
      <color theme="0"/>
      <name val="Montserrat Light"/>
    </font>
    <font>
      <b/>
      <sz val="10"/>
      <color theme="8" tint="-0.749992370372631"/>
      <name val="Montserrat Medium"/>
      <scheme val="minor"/>
    </font>
    <font>
      <sz val="9"/>
      <color theme="0"/>
      <name val="Montserrat Regular"/>
    </font>
    <font>
      <b/>
      <sz val="9"/>
      <color theme="0"/>
      <name val="Montserrat Regular"/>
    </font>
    <font>
      <b/>
      <sz val="9"/>
      <color theme="1"/>
      <name val="Montserrat Regular"/>
    </font>
    <font>
      <sz val="9"/>
      <color theme="8" tint="-0.749992370372631"/>
      <name val="Montserrat Regular"/>
    </font>
    <font>
      <i/>
      <sz val="9"/>
      <color theme="4" tint="-0.249977111117893"/>
      <name val="Montserrat Regular"/>
    </font>
    <font>
      <sz val="9"/>
      <color theme="0" tint="-0.499984740745262"/>
      <name val="Montserrat Regular"/>
    </font>
    <font>
      <i/>
      <sz val="9"/>
      <color theme="8" tint="-0.749992370372631"/>
      <name val="Montserrat Regular"/>
    </font>
    <font>
      <i/>
      <sz val="9"/>
      <color rgb="FFFF0000"/>
      <name val="Montserrat Regular"/>
    </font>
    <font>
      <b/>
      <sz val="9"/>
      <color theme="0" tint="-0.499984740745262"/>
      <name val="Montserrat Regular"/>
    </font>
    <font>
      <sz val="10"/>
      <color theme="0"/>
      <name val="Montserrat Regular"/>
    </font>
    <font>
      <sz val="10"/>
      <color theme="0" tint="-0.499984740745262"/>
      <name val="Montserrat Regular"/>
    </font>
    <font>
      <b/>
      <sz val="10"/>
      <color theme="0"/>
      <name val="Montserrat Regular"/>
    </font>
    <font>
      <b/>
      <sz val="10"/>
      <color theme="8" tint="-0.749992370372631"/>
      <name val="Montserrat Regular"/>
    </font>
    <font>
      <i/>
      <sz val="10"/>
      <color theme="1"/>
      <name val="Montserrat Regular"/>
    </font>
    <font>
      <b/>
      <sz val="10"/>
      <color rgb="FF7030A0"/>
      <name val="Montserrat Regular"/>
    </font>
    <font>
      <sz val="12"/>
      <color theme="1"/>
      <name val="Montserrat Medium"/>
      <family val="2"/>
      <charset val="204"/>
      <scheme val="minor"/>
    </font>
    <font>
      <b/>
      <sz val="10"/>
      <color theme="8" tint="-0.499984740745262"/>
      <name val="Montserrat Regular"/>
    </font>
    <font>
      <sz val="9"/>
      <color theme="1"/>
      <name val="Montserrat Medium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2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theme="1"/>
      </top>
      <bottom style="hair">
        <color theme="1"/>
      </bottom>
      <diagonal/>
    </border>
    <border>
      <left style="hair">
        <color theme="9"/>
      </left>
      <right style="hair">
        <color theme="9"/>
      </right>
      <top style="hair">
        <color theme="9"/>
      </top>
      <bottom style="hair">
        <color theme="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9" fontId="2" fillId="0" borderId="0" applyFont="0" applyFill="0" applyBorder="0" applyAlignment="0" applyProtection="0"/>
    <xf numFmtId="0" fontId="42" fillId="0" borderId="0"/>
  </cellStyleXfs>
  <cellXfs count="180">
    <xf numFmtId="0" fontId="0" fillId="0" borderId="0" xfId="0"/>
    <xf numFmtId="0" fontId="0" fillId="4" borderId="0" xfId="0" applyFill="1"/>
    <xf numFmtId="0" fontId="5" fillId="5" borderId="0" xfId="0" applyFont="1" applyFill="1" applyAlignment="1">
      <alignment horizontal="center"/>
    </xf>
    <xf numFmtId="0" fontId="6" fillId="0" borderId="0" xfId="0" applyFont="1"/>
    <xf numFmtId="0" fontId="7" fillId="0" borderId="0" xfId="0" applyFont="1"/>
    <xf numFmtId="0" fontId="4" fillId="0" borderId="0" xfId="0" applyFont="1"/>
    <xf numFmtId="166" fontId="7" fillId="8" borderId="1" xfId="1" applyNumberFormat="1" applyFont="1" applyFill="1" applyBorder="1" applyAlignment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/>
    <xf numFmtId="0" fontId="5" fillId="0" borderId="0" xfId="0" applyFont="1" applyAlignment="1">
      <alignment horizontal="center"/>
    </xf>
    <xf numFmtId="166" fontId="13" fillId="8" borderId="1" xfId="1" applyNumberFormat="1" applyFont="1" applyFill="1" applyBorder="1" applyAlignment="1"/>
    <xf numFmtId="0" fontId="13" fillId="0" borderId="0" xfId="0" applyFont="1"/>
    <xf numFmtId="0" fontId="14" fillId="5" borderId="0" xfId="0" applyFont="1" applyFill="1" applyAlignment="1">
      <alignment horizontal="left"/>
    </xf>
    <xf numFmtId="0" fontId="14" fillId="5" borderId="0" xfId="0" applyFont="1" applyFill="1" applyAlignment="1">
      <alignment horizontal="center"/>
    </xf>
    <xf numFmtId="14" fontId="14" fillId="5" borderId="0" xfId="0" applyNumberFormat="1" applyFont="1" applyFill="1" applyAlignment="1">
      <alignment horizontal="center"/>
    </xf>
    <xf numFmtId="0" fontId="13" fillId="0" borderId="0" xfId="0" applyFont="1" applyAlignment="1">
      <alignment horizontal="left" indent="1"/>
    </xf>
    <xf numFmtId="165" fontId="13" fillId="7" borderId="1" xfId="2" applyNumberFormat="1" applyFont="1" applyFill="1" applyBorder="1" applyAlignment="1">
      <alignment horizontal="right"/>
    </xf>
    <xf numFmtId="165" fontId="13" fillId="0" borderId="0" xfId="0" applyNumberFormat="1" applyFont="1"/>
    <xf numFmtId="0" fontId="15" fillId="10" borderId="0" xfId="0" applyFont="1" applyFill="1"/>
    <xf numFmtId="0" fontId="14" fillId="11" borderId="0" xfId="0" applyFont="1" applyFill="1" applyAlignment="1">
      <alignment horizontal="center"/>
    </xf>
    <xf numFmtId="14" fontId="14" fillId="11" borderId="0" xfId="0" applyNumberFormat="1" applyFont="1" applyFill="1" applyAlignment="1">
      <alignment horizontal="center"/>
    </xf>
    <xf numFmtId="0" fontId="16" fillId="3" borderId="0" xfId="0" applyFont="1" applyFill="1"/>
    <xf numFmtId="168" fontId="15" fillId="0" borderId="0" xfId="0" applyNumberFormat="1" applyFont="1"/>
    <xf numFmtId="0" fontId="8" fillId="10" borderId="0" xfId="0" applyFont="1" applyFill="1"/>
    <xf numFmtId="0" fontId="4" fillId="10" borderId="0" xfId="0" applyFont="1" applyFill="1"/>
    <xf numFmtId="0" fontId="7" fillId="10" borderId="0" xfId="0" applyFont="1" applyFill="1"/>
    <xf numFmtId="165" fontId="7" fillId="7" borderId="1" xfId="2" applyNumberFormat="1" applyFont="1" applyFill="1" applyBorder="1" applyAlignment="1">
      <alignment horizontal="right"/>
    </xf>
    <xf numFmtId="0" fontId="13" fillId="10" borderId="0" xfId="0" applyFont="1" applyFill="1" applyAlignment="1">
      <alignment horizontal="center"/>
    </xf>
    <xf numFmtId="0" fontId="17" fillId="12" borderId="3" xfId="0" applyFont="1" applyFill="1" applyBorder="1" applyAlignment="1">
      <alignment horizontal="center"/>
    </xf>
    <xf numFmtId="0" fontId="18" fillId="13" borderId="0" xfId="0" applyFont="1" applyFill="1"/>
    <xf numFmtId="0" fontId="14" fillId="13" borderId="0" xfId="0" applyFont="1" applyFill="1"/>
    <xf numFmtId="166" fontId="13" fillId="7" borderId="1" xfId="1" applyNumberFormat="1" applyFont="1" applyFill="1" applyBorder="1" applyAlignment="1">
      <alignment horizontal="right"/>
    </xf>
    <xf numFmtId="168" fontId="0" fillId="0" borderId="0" xfId="0" applyNumberFormat="1"/>
    <xf numFmtId="0" fontId="20" fillId="5" borderId="0" xfId="0" applyFont="1" applyFill="1" applyAlignment="1">
      <alignment horizontal="left"/>
    </xf>
    <xf numFmtId="0" fontId="20" fillId="5" borderId="0" xfId="0" applyFont="1" applyFill="1" applyAlignment="1">
      <alignment horizontal="center"/>
    </xf>
    <xf numFmtId="0" fontId="20" fillId="9" borderId="0" xfId="0" applyFont="1" applyFill="1" applyAlignment="1">
      <alignment horizontal="center"/>
    </xf>
    <xf numFmtId="0" fontId="20" fillId="14" borderId="0" xfId="0" applyFont="1" applyFill="1" applyAlignment="1">
      <alignment horizontal="center"/>
    </xf>
    <xf numFmtId="0" fontId="21" fillId="0" borderId="0" xfId="0" applyFont="1"/>
    <xf numFmtId="14" fontId="20" fillId="5" borderId="0" xfId="0" applyNumberFormat="1" applyFont="1" applyFill="1" applyAlignment="1">
      <alignment horizontal="center"/>
    </xf>
    <xf numFmtId="14" fontId="20" fillId="9" borderId="0" xfId="0" applyNumberFormat="1" applyFont="1" applyFill="1" applyAlignment="1">
      <alignment horizontal="center"/>
    </xf>
    <xf numFmtId="14" fontId="20" fillId="14" borderId="0" xfId="0" applyNumberFormat="1" applyFont="1" applyFill="1" applyAlignment="1">
      <alignment horizontal="center"/>
    </xf>
    <xf numFmtId="0" fontId="22" fillId="16" borderId="0" xfId="0" applyFont="1" applyFill="1"/>
    <xf numFmtId="164" fontId="22" fillId="16" borderId="0" xfId="0" applyNumberFormat="1" applyFont="1" applyFill="1"/>
    <xf numFmtId="0" fontId="21" fillId="15" borderId="0" xfId="0" applyFont="1" applyFill="1"/>
    <xf numFmtId="0" fontId="22" fillId="16" borderId="0" xfId="0" applyFont="1" applyFill="1" applyAlignment="1">
      <alignment horizontal="left" indent="1"/>
    </xf>
    <xf numFmtId="0" fontId="23" fillId="16" borderId="0" xfId="0" applyFont="1" applyFill="1" applyAlignment="1">
      <alignment horizontal="left"/>
    </xf>
    <xf numFmtId="0" fontId="23" fillId="16" borderId="0" xfId="0" applyFont="1" applyFill="1"/>
    <xf numFmtId="164" fontId="23" fillId="16" borderId="0" xfId="0" applyNumberFormat="1" applyFont="1" applyFill="1"/>
    <xf numFmtId="164" fontId="21" fillId="0" borderId="0" xfId="0" applyNumberFormat="1" applyFont="1"/>
    <xf numFmtId="167" fontId="21" fillId="0" borderId="0" xfId="0" applyNumberFormat="1" applyFont="1"/>
    <xf numFmtId="0" fontId="24" fillId="0" borderId="0" xfId="0" applyFont="1" applyAlignment="1">
      <alignment horizontal="center"/>
    </xf>
    <xf numFmtId="0" fontId="21" fillId="0" borderId="0" xfId="0" applyFont="1" applyAlignment="1">
      <alignment horizontal="left" indent="1"/>
    </xf>
    <xf numFmtId="0" fontId="25" fillId="5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0" fontId="15" fillId="16" borderId="0" xfId="0" applyFont="1" applyFill="1" applyAlignment="1">
      <alignment horizontal="center"/>
    </xf>
    <xf numFmtId="0" fontId="13" fillId="16" borderId="0" xfId="0" applyFont="1" applyFill="1" applyAlignment="1">
      <alignment horizontal="center"/>
    </xf>
    <xf numFmtId="0" fontId="17" fillId="15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17" fillId="0" borderId="0" xfId="0" applyFont="1"/>
    <xf numFmtId="0" fontId="13" fillId="16" borderId="0" xfId="0" applyFont="1" applyFill="1"/>
    <xf numFmtId="0" fontId="17" fillId="15" borderId="0" xfId="0" applyFont="1" applyFill="1"/>
    <xf numFmtId="0" fontId="26" fillId="0" borderId="0" xfId="0" applyFont="1"/>
    <xf numFmtId="0" fontId="21" fillId="0" borderId="0" xfId="0" quotePrefix="1" applyFont="1" applyAlignment="1">
      <alignment horizontal="left" indent="2"/>
    </xf>
    <xf numFmtId="0" fontId="21" fillId="10" borderId="0" xfId="0" applyFont="1" applyFill="1"/>
    <xf numFmtId="0" fontId="17" fillId="10" borderId="0" xfId="0" applyFont="1" applyFill="1" applyAlignment="1">
      <alignment horizontal="center"/>
    </xf>
    <xf numFmtId="0" fontId="17" fillId="10" borderId="0" xfId="0" applyFont="1" applyFill="1"/>
    <xf numFmtId="165" fontId="21" fillId="10" borderId="0" xfId="2" applyNumberFormat="1" applyFont="1" applyFill="1"/>
    <xf numFmtId="165" fontId="21" fillId="10" borderId="0" xfId="0" applyNumberFormat="1" applyFont="1" applyFill="1"/>
    <xf numFmtId="0" fontId="19" fillId="3" borderId="0" xfId="0" applyFont="1" applyFill="1"/>
    <xf numFmtId="0" fontId="19" fillId="6" borderId="0" xfId="0" applyFont="1" applyFill="1"/>
    <xf numFmtId="0" fontId="27" fillId="5" borderId="0" xfId="0" applyFont="1" applyFill="1" applyAlignment="1">
      <alignment horizontal="left"/>
    </xf>
    <xf numFmtId="0" fontId="27" fillId="5" borderId="0" xfId="0" applyFont="1" applyFill="1" applyAlignment="1">
      <alignment horizontal="center"/>
    </xf>
    <xf numFmtId="0" fontId="27" fillId="9" borderId="0" xfId="0" applyFont="1" applyFill="1" applyAlignment="1">
      <alignment horizontal="center"/>
    </xf>
    <xf numFmtId="0" fontId="27" fillId="14" borderId="0" xfId="0" applyFont="1" applyFill="1" applyAlignment="1">
      <alignment horizontal="center"/>
    </xf>
    <xf numFmtId="14" fontId="27" fillId="5" borderId="0" xfId="0" applyNumberFormat="1" applyFont="1" applyFill="1" applyAlignment="1">
      <alignment horizontal="center"/>
    </xf>
    <xf numFmtId="14" fontId="27" fillId="9" borderId="0" xfId="0" applyNumberFormat="1" applyFont="1" applyFill="1" applyAlignment="1">
      <alignment horizontal="center"/>
    </xf>
    <xf numFmtId="14" fontId="27" fillId="14" borderId="0" xfId="0" applyNumberFormat="1" applyFont="1" applyFill="1" applyAlignment="1">
      <alignment horizontal="center"/>
    </xf>
    <xf numFmtId="0" fontId="29" fillId="2" borderId="0" xfId="0" applyFont="1" applyFill="1" applyAlignment="1">
      <alignment horizontal="left"/>
    </xf>
    <xf numFmtId="164" fontId="29" fillId="2" borderId="0" xfId="0" applyNumberFormat="1" applyFont="1" applyFill="1"/>
    <xf numFmtId="164" fontId="29" fillId="3" borderId="0" xfId="0" applyNumberFormat="1" applyFont="1" applyFill="1"/>
    <xf numFmtId="0" fontId="19" fillId="2" borderId="0" xfId="0" applyFont="1" applyFill="1" applyAlignment="1">
      <alignment horizontal="left" indent="1"/>
    </xf>
    <xf numFmtId="164" fontId="19" fillId="2" borderId="0" xfId="0" applyNumberFormat="1" applyFont="1" applyFill="1"/>
    <xf numFmtId="164" fontId="19" fillId="3" borderId="0" xfId="0" applyNumberFormat="1" applyFont="1" applyFill="1"/>
    <xf numFmtId="165" fontId="30" fillId="2" borderId="0" xfId="2" applyNumberFormat="1" applyFont="1" applyFill="1"/>
    <xf numFmtId="165" fontId="30" fillId="3" borderId="0" xfId="2" applyNumberFormat="1" applyFont="1" applyFill="1"/>
    <xf numFmtId="0" fontId="19" fillId="3" borderId="0" xfId="0" quotePrefix="1" applyFont="1" applyFill="1"/>
    <xf numFmtId="167" fontId="19" fillId="3" borderId="0" xfId="0" applyNumberFormat="1" applyFont="1" applyFill="1"/>
    <xf numFmtId="0" fontId="31" fillId="3" borderId="0" xfId="0" applyFont="1" applyFill="1" applyAlignment="1">
      <alignment horizontal="left" indent="1"/>
    </xf>
    <xf numFmtId="165" fontId="31" fillId="3" borderId="0" xfId="2" applyNumberFormat="1" applyFont="1" applyFill="1"/>
    <xf numFmtId="0" fontId="19" fillId="3" borderId="0" xfId="0" applyFont="1" applyFill="1" applyAlignment="1">
      <alignment horizontal="left" indent="1"/>
    </xf>
    <xf numFmtId="0" fontId="31" fillId="3" borderId="0" xfId="0" applyFont="1" applyFill="1" applyAlignment="1">
      <alignment horizontal="left" indent="3"/>
    </xf>
    <xf numFmtId="0" fontId="19" fillId="3" borderId="0" xfId="0" applyFont="1" applyFill="1" applyAlignment="1">
      <alignment horizontal="left" indent="2"/>
    </xf>
    <xf numFmtId="164" fontId="19" fillId="6" borderId="0" xfId="0" applyNumberFormat="1" applyFont="1" applyFill="1"/>
    <xf numFmtId="169" fontId="19" fillId="6" borderId="0" xfId="1" applyNumberFormat="1" applyFont="1" applyFill="1"/>
    <xf numFmtId="167" fontId="19" fillId="6" borderId="0" xfId="0" applyNumberFormat="1" applyFont="1" applyFill="1"/>
    <xf numFmtId="0" fontId="29" fillId="2" borderId="0" xfId="0" applyFont="1" applyFill="1"/>
    <xf numFmtId="0" fontId="19" fillId="3" borderId="0" xfId="0" quotePrefix="1" applyFont="1" applyFill="1" applyAlignment="1">
      <alignment horizontal="left" indent="1"/>
    </xf>
    <xf numFmtId="0" fontId="29" fillId="3" borderId="0" xfId="0" quotePrefix="1" applyFont="1" applyFill="1" applyAlignment="1">
      <alignment horizontal="left" indent="1"/>
    </xf>
    <xf numFmtId="0" fontId="19" fillId="3" borderId="0" xfId="0" quotePrefix="1" applyFont="1" applyFill="1" applyAlignment="1">
      <alignment horizontal="left" indent="2"/>
    </xf>
    <xf numFmtId="0" fontId="32" fillId="3" borderId="0" xfId="0" applyFont="1" applyFill="1" applyAlignment="1">
      <alignment horizontal="center"/>
    </xf>
    <xf numFmtId="0" fontId="32" fillId="5" borderId="0" xfId="0" applyFont="1" applyFill="1" applyAlignment="1">
      <alignment horizontal="center"/>
    </xf>
    <xf numFmtId="0" fontId="29" fillId="2" borderId="0" xfId="0" applyFont="1" applyFill="1" applyAlignment="1">
      <alignment horizontal="left" indent="1"/>
    </xf>
    <xf numFmtId="0" fontId="33" fillId="2" borderId="0" xfId="0" applyFont="1" applyFill="1" applyAlignment="1">
      <alignment horizontal="left" indent="1"/>
    </xf>
    <xf numFmtId="0" fontId="31" fillId="3" borderId="0" xfId="0" applyFont="1" applyFill="1"/>
    <xf numFmtId="0" fontId="31" fillId="3" borderId="0" xfId="0" applyFont="1" applyFill="1" applyAlignment="1">
      <alignment horizontal="center"/>
    </xf>
    <xf numFmtId="167" fontId="34" fillId="3" borderId="0" xfId="0" applyNumberFormat="1" applyFont="1" applyFill="1"/>
    <xf numFmtId="0" fontId="32" fillId="2" borderId="0" xfId="0" applyFont="1" applyFill="1" applyAlignment="1">
      <alignment horizontal="center"/>
    </xf>
    <xf numFmtId="0" fontId="35" fillId="3" borderId="0" xfId="0" applyFont="1" applyFill="1" applyAlignment="1">
      <alignment horizontal="center"/>
    </xf>
    <xf numFmtId="0" fontId="36" fillId="5" borderId="0" xfId="0" applyFont="1" applyFill="1" applyAlignment="1">
      <alignment horizontal="left" vertical="center"/>
    </xf>
    <xf numFmtId="0" fontId="37" fillId="5" borderId="0" xfId="0" applyFont="1" applyFill="1" applyAlignment="1">
      <alignment horizontal="center" vertical="center"/>
    </xf>
    <xf numFmtId="0" fontId="36" fillId="5" borderId="0" xfId="0" applyFont="1" applyFill="1" applyAlignment="1">
      <alignment horizontal="center" vertical="center"/>
    </xf>
    <xf numFmtId="0" fontId="36" fillId="14" borderId="0" xfId="0" applyFont="1" applyFill="1" applyAlignment="1">
      <alignment horizontal="center" vertical="center"/>
    </xf>
    <xf numFmtId="0" fontId="22" fillId="0" borderId="0" xfId="0" applyFont="1" applyAlignment="1">
      <alignment vertical="center"/>
    </xf>
    <xf numFmtId="14" fontId="36" fillId="5" borderId="0" xfId="0" applyNumberFormat="1" applyFont="1" applyFill="1" applyAlignment="1">
      <alignment horizontal="center" vertical="center"/>
    </xf>
    <xf numFmtId="14" fontId="36" fillId="14" borderId="0" xfId="0" applyNumberFormat="1" applyFont="1" applyFill="1" applyAlignment="1">
      <alignment horizontal="center" vertical="center"/>
    </xf>
    <xf numFmtId="164" fontId="22" fillId="0" borderId="0" xfId="0" applyNumberFormat="1" applyFont="1" applyAlignment="1">
      <alignment vertical="center"/>
    </xf>
    <xf numFmtId="0" fontId="22" fillId="2" borderId="0" xfId="0" quotePrefix="1" applyFont="1" applyFill="1" applyAlignment="1">
      <alignment horizontal="left" vertical="center"/>
    </xf>
    <xf numFmtId="9" fontId="22" fillId="0" borderId="0" xfId="0" applyNumberFormat="1" applyFont="1" applyAlignment="1">
      <alignment vertical="center"/>
    </xf>
    <xf numFmtId="0" fontId="23" fillId="2" borderId="0" xfId="0" applyFont="1" applyFill="1" applyAlignment="1">
      <alignment horizontal="left" vertical="center"/>
    </xf>
    <xf numFmtId="164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0" fontId="22" fillId="2" borderId="0" xfId="0" applyFont="1" applyFill="1" applyAlignment="1">
      <alignment horizontal="left" vertical="center" indent="1"/>
    </xf>
    <xf numFmtId="0" fontId="22" fillId="2" borderId="0" xfId="0" quotePrefix="1" applyFont="1" applyFill="1" applyAlignment="1">
      <alignment horizontal="left" vertical="center" indent="1"/>
    </xf>
    <xf numFmtId="0" fontId="38" fillId="5" borderId="7" xfId="0" applyFont="1" applyFill="1" applyBorder="1" applyAlignment="1">
      <alignment horizontal="left" vertical="center"/>
    </xf>
    <xf numFmtId="0" fontId="36" fillId="5" borderId="8" xfId="0" applyFont="1" applyFill="1" applyBorder="1" applyAlignment="1">
      <alignment vertical="center"/>
    </xf>
    <xf numFmtId="165" fontId="38" fillId="5" borderId="9" xfId="0" applyNumberFormat="1" applyFont="1" applyFill="1" applyBorder="1" applyAlignment="1">
      <alignment vertical="center"/>
    </xf>
    <xf numFmtId="0" fontId="23" fillId="2" borderId="4" xfId="0" applyFont="1" applyFill="1" applyBorder="1" applyAlignment="1">
      <alignment horizontal="left" vertical="center"/>
    </xf>
    <xf numFmtId="0" fontId="22" fillId="0" borderId="5" xfId="0" applyFont="1" applyBorder="1" applyAlignment="1">
      <alignment vertical="center"/>
    </xf>
    <xf numFmtId="164" fontId="23" fillId="0" borderId="5" xfId="0" applyNumberFormat="1" applyFont="1" applyBorder="1" applyAlignment="1">
      <alignment vertical="center"/>
    </xf>
    <xf numFmtId="164" fontId="23" fillId="0" borderId="6" xfId="0" applyNumberFormat="1" applyFont="1" applyBorder="1" applyAlignment="1">
      <alignment vertical="center"/>
    </xf>
    <xf numFmtId="0" fontId="23" fillId="2" borderId="0" xfId="0" quotePrefix="1" applyFont="1" applyFill="1" applyAlignment="1">
      <alignment horizontal="left" vertical="center" indent="1"/>
    </xf>
    <xf numFmtId="0" fontId="23" fillId="2" borderId="0" xfId="0" applyFont="1" applyFill="1" applyAlignment="1">
      <alignment horizontal="left" vertical="center" indent="1"/>
    </xf>
    <xf numFmtId="0" fontId="40" fillId="2" borderId="0" xfId="0" quotePrefix="1" applyFont="1" applyFill="1" applyAlignment="1">
      <alignment horizontal="left" vertical="center" indent="2"/>
    </xf>
    <xf numFmtId="165" fontId="40" fillId="0" borderId="0" xfId="0" applyNumberFormat="1" applyFont="1" applyAlignment="1">
      <alignment vertical="center"/>
    </xf>
    <xf numFmtId="166" fontId="22" fillId="8" borderId="1" xfId="1" applyNumberFormat="1" applyFont="1" applyFill="1" applyBorder="1" applyAlignment="1">
      <alignment vertical="center"/>
    </xf>
    <xf numFmtId="0" fontId="3" fillId="3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left" indent="1"/>
    </xf>
    <xf numFmtId="164" fontId="7" fillId="3" borderId="2" xfId="0" applyNumberFormat="1" applyFont="1" applyFill="1" applyBorder="1" applyAlignment="1">
      <alignment horizontal="right"/>
    </xf>
    <xf numFmtId="0" fontId="28" fillId="17" borderId="0" xfId="0" applyFont="1" applyFill="1"/>
    <xf numFmtId="0" fontId="19" fillId="17" borderId="0" xfId="0" applyFont="1" applyFill="1"/>
    <xf numFmtId="0" fontId="28" fillId="17" borderId="0" xfId="0" applyFont="1" applyFill="1" applyAlignment="1">
      <alignment vertical="top"/>
    </xf>
    <xf numFmtId="165" fontId="13" fillId="0" borderId="0" xfId="2" applyNumberFormat="1" applyFont="1"/>
    <xf numFmtId="0" fontId="22" fillId="0" borderId="0" xfId="0" applyFont="1" applyAlignment="1">
      <alignment horizontal="center" vertical="center"/>
    </xf>
    <xf numFmtId="166" fontId="13" fillId="4" borderId="1" xfId="1" applyNumberFormat="1" applyFont="1" applyFill="1" applyBorder="1" applyAlignment="1"/>
    <xf numFmtId="9" fontId="22" fillId="18" borderId="0" xfId="0" applyNumberFormat="1" applyFont="1" applyFill="1" applyAlignment="1">
      <alignment vertical="center"/>
    </xf>
    <xf numFmtId="170" fontId="38" fillId="13" borderId="0" xfId="0" applyNumberFormat="1" applyFont="1" applyFill="1" applyAlignment="1">
      <alignment vertical="center"/>
    </xf>
    <xf numFmtId="170" fontId="38" fillId="13" borderId="0" xfId="0" applyNumberFormat="1" applyFont="1" applyFill="1" applyAlignment="1">
      <alignment horizontal="center" vertical="center"/>
    </xf>
    <xf numFmtId="165" fontId="40" fillId="18" borderId="0" xfId="0" applyNumberFormat="1" applyFont="1" applyFill="1" applyAlignment="1">
      <alignment vertical="center"/>
    </xf>
    <xf numFmtId="0" fontId="13" fillId="0" borderId="0" xfId="0" applyFont="1" applyAlignment="1">
      <alignment horizontal="right"/>
    </xf>
    <xf numFmtId="165" fontId="23" fillId="0" borderId="0" xfId="2" applyNumberFormat="1" applyFont="1" applyAlignment="1">
      <alignment vertical="center"/>
    </xf>
    <xf numFmtId="165" fontId="41" fillId="0" borderId="0" xfId="0" applyNumberFormat="1" applyFont="1" applyAlignment="1">
      <alignment vertical="center"/>
    </xf>
    <xf numFmtId="170" fontId="38" fillId="19" borderId="10" xfId="0" applyNumberFormat="1" applyFont="1" applyFill="1" applyBorder="1" applyAlignment="1">
      <alignment vertical="center"/>
    </xf>
    <xf numFmtId="165" fontId="40" fillId="18" borderId="11" xfId="0" applyNumberFormat="1" applyFont="1" applyFill="1" applyBorder="1" applyAlignment="1">
      <alignment vertical="center"/>
    </xf>
    <xf numFmtId="165" fontId="23" fillId="0" borderId="12" xfId="2" applyNumberFormat="1" applyFont="1" applyBorder="1" applyAlignment="1">
      <alignment vertical="center"/>
    </xf>
    <xf numFmtId="0" fontId="22" fillId="19" borderId="0" xfId="0" applyFont="1" applyFill="1" applyAlignment="1">
      <alignment vertical="center"/>
    </xf>
    <xf numFmtId="168" fontId="22" fillId="0" borderId="0" xfId="0" applyNumberFormat="1" applyFont="1" applyAlignment="1">
      <alignment vertical="center"/>
    </xf>
    <xf numFmtId="165" fontId="7" fillId="3" borderId="2" xfId="2" applyNumberFormat="1" applyFont="1" applyFill="1" applyBorder="1" applyAlignment="1">
      <alignment horizontal="right"/>
    </xf>
    <xf numFmtId="0" fontId="8" fillId="10" borderId="0" xfId="0" applyFont="1" applyFill="1" applyAlignment="1">
      <alignment horizontal="left" indent="1"/>
    </xf>
    <xf numFmtId="0" fontId="7" fillId="3" borderId="2" xfId="0" applyFont="1" applyFill="1" applyBorder="1" applyAlignment="1">
      <alignment horizontal="left" indent="2"/>
    </xf>
    <xf numFmtId="0" fontId="8" fillId="20" borderId="0" xfId="0" applyFont="1" applyFill="1"/>
    <xf numFmtId="0" fontId="4" fillId="20" borderId="0" xfId="0" applyFont="1" applyFill="1"/>
    <xf numFmtId="0" fontId="7" fillId="20" borderId="0" xfId="0" applyFont="1" applyFill="1"/>
    <xf numFmtId="0" fontId="0" fillId="6" borderId="0" xfId="0" applyFill="1"/>
    <xf numFmtId="165" fontId="43" fillId="0" borderId="0" xfId="2" applyNumberFormat="1" applyFont="1" applyAlignment="1">
      <alignment vertical="center"/>
    </xf>
    <xf numFmtId="0" fontId="43" fillId="2" borderId="0" xfId="0" applyFont="1" applyFill="1" applyAlignment="1">
      <alignment horizontal="left" vertical="center"/>
    </xf>
    <xf numFmtId="0" fontId="22" fillId="0" borderId="5" xfId="0" applyFont="1" applyBorder="1" applyAlignment="1">
      <alignment horizontal="center" vertical="center"/>
    </xf>
    <xf numFmtId="0" fontId="36" fillId="5" borderId="8" xfId="0" applyFont="1" applyFill="1" applyBorder="1" applyAlignment="1">
      <alignment horizontal="center" vertical="center"/>
    </xf>
    <xf numFmtId="171" fontId="44" fillId="21" borderId="0" xfId="0" applyNumberFormat="1" applyFont="1" applyFill="1"/>
    <xf numFmtId="0" fontId="13" fillId="21" borderId="0" xfId="0" applyFont="1" applyFill="1"/>
    <xf numFmtId="0" fontId="19" fillId="16" borderId="0" xfId="0" applyFont="1" applyFill="1"/>
    <xf numFmtId="167" fontId="19" fillId="16" borderId="0" xfId="0" applyNumberFormat="1" applyFont="1" applyFill="1"/>
    <xf numFmtId="170" fontId="31" fillId="3" borderId="0" xfId="2" applyNumberFormat="1" applyFont="1" applyFill="1"/>
    <xf numFmtId="0" fontId="0" fillId="20" borderId="0" xfId="0" applyFill="1"/>
    <xf numFmtId="0" fontId="17" fillId="0" borderId="0" xfId="0" applyFont="1" applyAlignment="1">
      <alignment horizontal="center" vertical="center"/>
    </xf>
    <xf numFmtId="0" fontId="14" fillId="13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10" borderId="0" xfId="0" applyFont="1" applyFill="1" applyAlignment="1">
      <alignment horizontal="center" vertical="center"/>
    </xf>
    <xf numFmtId="170" fontId="23" fillId="0" borderId="0" xfId="1" applyNumberFormat="1" applyFont="1" applyAlignment="1">
      <alignment vertical="center"/>
    </xf>
  </cellXfs>
  <cellStyles count="6">
    <cellStyle name="Comma" xfId="1" builtinId="3"/>
    <cellStyle name="Normal" xfId="0" builtinId="0"/>
    <cellStyle name="Normal 2" xfId="5" xr:uid="{C889E147-24E6-0D48-BCCD-2D2B9823D1EF}"/>
    <cellStyle name="Per cent" xfId="2" builtinId="5"/>
    <cellStyle name="Обычный 2" xfId="3" xr:uid="{0293144D-8E8A-475A-B401-26CD242A2BB1}"/>
    <cellStyle name="Процентный 2 9" xfId="4" xr:uid="{F26B6EE8-D837-4795-89A7-651979F1609A}"/>
  </cellStyles>
  <dxfs count="5">
    <dxf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ill>
        <patternFill patternType="solid">
          <bgColor theme="0" tint="-0.14996795556505021"/>
        </patternFill>
      </fill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b/>
        <i val="0"/>
        <strike val="0"/>
        <u val="none"/>
        <color rgb="FF991CFB"/>
      </font>
      <fill>
        <patternFill patternType="none">
          <fgColor auto="1"/>
          <bgColor auto="1"/>
        </patternFill>
      </fill>
      <border>
        <left/>
        <right/>
        <top/>
        <bottom/>
        <vertical/>
        <horizontal/>
      </border>
    </dxf>
  </dxfs>
  <tableStyles count="1" defaultTableStyle="TableStyleMedium2" defaultPivotStyle="PivotStyleLight16">
    <tableStyle name="Slicer_dashboard" pivot="0" table="0" count="13" xr9:uid="{711E9D88-7333-7E4C-99D6-5F0AD2B23980}">
      <tableStyleElement type="wholeTable" dxfId="4"/>
      <tableStyleElement type="headerRow" dxfId="3"/>
      <tableStyleElement type="totalRow" dxfId="2"/>
      <tableStyleElement type="firstColumnStripe" dxfId="1"/>
      <tableStyleElement type="firstHeaderCell" dxfId="0"/>
    </tableStyle>
  </tableStyles>
  <colors>
    <mruColors>
      <color rgb="FFBFD6EC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4" tint="0.79998168889431442"/>
              <bgColor theme="4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4" tint="0.59999389629810485"/>
              <bgColor theme="4" tint="0.599993896298104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_dashboard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541948083691125E-2"/>
          <c:y val="6.3613463286334354E-2"/>
          <c:w val="0.9329161038326178"/>
          <c:h val="0.7894972669434027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6000">
                  <a:srgbClr val="6821E4"/>
                </a:gs>
                <a:gs pos="52000">
                  <a:schemeClr val="accent1">
                    <a:lumMod val="45000"/>
                    <a:lumOff val="55000"/>
                  </a:schemeClr>
                </a:gs>
                <a:gs pos="77000">
                  <a:schemeClr val="accent1">
                    <a:lumMod val="45000"/>
                    <a:lumOff val="55000"/>
                  </a:schemeClr>
                </a:gs>
                <a:gs pos="94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 w="22225"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j-lt"/>
                    <a:ea typeface="+mn-ea"/>
                    <a:cs typeface="+mn-cs"/>
                  </a:defRPr>
                </a:pPr>
                <a:endParaRPr lang="en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FS!$G$2:$K$2</c:f>
              <c:numCache>
                <c:formatCode>General</c:formatCode>
                <c:ptCount val="5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</c:numCache>
            </c:numRef>
          </c:cat>
          <c:val>
            <c:numRef>
              <c:f>FS!$G$11:$K$11</c:f>
              <c:numCache>
                <c:formatCode>#\ ##0.0" ";\(#\ ##0.0\);\-" "</c:formatCode>
                <c:ptCount val="5"/>
                <c:pt idx="0">
                  <c:v>92700</c:v>
                </c:pt>
                <c:pt idx="1">
                  <c:v>95481</c:v>
                </c:pt>
                <c:pt idx="2">
                  <c:v>98345.430000000008</c:v>
                </c:pt>
                <c:pt idx="3">
                  <c:v>101295.79290000001</c:v>
                </c:pt>
                <c:pt idx="4">
                  <c:v>104334.66668700002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56-4B46-B5C3-4D823EE4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0898000"/>
        <c:axId val="100875152"/>
      </c:barChart>
      <c:catAx>
        <c:axId val="100898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RU"/>
          </a:p>
        </c:txPr>
        <c:crossAx val="100875152"/>
        <c:crosses val="autoZero"/>
        <c:auto val="1"/>
        <c:lblAlgn val="ctr"/>
        <c:lblOffset val="100"/>
        <c:noMultiLvlLbl val="0"/>
      </c:catAx>
      <c:valAx>
        <c:axId val="100875152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\ ##0.0&quot; &quot;;\(#\ ##0.0\);\-&quot; &quot;" sourceLinked="1"/>
        <c:majorTickMark val="none"/>
        <c:minorTickMark val="none"/>
        <c:tickLblPos val="nextTo"/>
        <c:crossAx val="100898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942415848180334E-2"/>
          <c:y val="0"/>
          <c:w val="0.92268178536000112"/>
          <c:h val="0.84468751910832685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85000">
                  <a:srgbClr val="F7D366"/>
                </a:gs>
                <a:gs pos="65000">
                  <a:srgbClr val="E8788C"/>
                </a:gs>
                <a:gs pos="4000">
                  <a:srgbClr val="6821E4"/>
                </a:gs>
              </a:gsLst>
              <a:path path="circle">
                <a:fillToRect l="50000" t="-80000" r="50000" b="180000"/>
              </a:path>
            </a:gra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j-lt"/>
                    <a:ea typeface="+mn-ea"/>
                    <a:cs typeface="+mn-cs"/>
                  </a:defRPr>
                </a:pPr>
                <a:endParaRPr lang="en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FS!$G$2:$K$2</c:f>
              <c:numCache>
                <c:formatCode>General</c:formatCode>
                <c:ptCount val="5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</c:numCache>
            </c:numRef>
          </c:cat>
          <c:val>
            <c:numRef>
              <c:f>FS!$G$26:$K$26</c:f>
              <c:numCache>
                <c:formatCode>#\ ##0.0" ";\(#\ ##0.0\);\-" "</c:formatCode>
                <c:ptCount val="5"/>
                <c:pt idx="0">
                  <c:v>56629.666666666672</c:v>
                </c:pt>
                <c:pt idx="1">
                  <c:v>58615.223333333328</c:v>
                </c:pt>
                <c:pt idx="2">
                  <c:v>60658.346700000009</c:v>
                </c:pt>
                <c:pt idx="3">
                  <c:v>62760.763767666671</c:v>
                </c:pt>
                <c:pt idx="4">
                  <c:v>64924.253347363352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F0-AE4D-AA69-1EC74E273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0898000"/>
        <c:axId val="100875152"/>
      </c:barChart>
      <c:catAx>
        <c:axId val="100898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RU"/>
          </a:p>
        </c:txPr>
        <c:crossAx val="100875152"/>
        <c:crosses val="autoZero"/>
        <c:auto val="1"/>
        <c:lblAlgn val="ctr"/>
        <c:lblOffset val="100"/>
        <c:noMultiLvlLbl val="0"/>
      </c:catAx>
      <c:valAx>
        <c:axId val="100875152"/>
        <c:scaling>
          <c:orientation val="minMax"/>
          <c:max val="800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\ ##0.0&quot; &quot;;\(#\ ##0.0\);\-&quot; &quot;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RU"/>
          </a:p>
        </c:txPr>
        <c:crossAx val="100898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+mj-lt"/>
        </a:defRPr>
      </a:pPr>
      <a:endParaRPr lang="en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449-1E42-8E51-2287FEC70103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449-1E42-8E51-2287FEC70103}"/>
              </c:ext>
            </c:extLst>
          </c:dPt>
          <c:dLbls>
            <c:dLbl>
              <c:idx val="0"/>
              <c:layout>
                <c:manualLayout>
                  <c:x val="8.5449243700435509E-2"/>
                  <c:y val="-0.121051113840787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330375369745446"/>
                      <c:h val="0.1512064520365251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8449-1E42-8E51-2287FEC70103}"/>
                </c:ext>
              </c:extLst>
            </c:dLbl>
            <c:dLbl>
              <c:idx val="1"/>
              <c:layout>
                <c:manualLayout>
                  <c:x val="-9.8464358621838957E-2"/>
                  <c:y val="0.1187342831188900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5962962962962963"/>
                      <c:h val="0.1268521622819204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8449-1E42-8E51-2287FEC701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Transaction!$B$19:$B$20</c:f>
              <c:strCache>
                <c:ptCount val="2"/>
                <c:pt idx="0">
                  <c:v>Equity</c:v>
                </c:pt>
                <c:pt idx="1">
                  <c:v>Debt</c:v>
                </c:pt>
              </c:strCache>
            </c:strRef>
          </c:cat>
          <c:val>
            <c:numRef>
              <c:f>Transaction!$E$19:$E$20</c:f>
              <c:numCache>
                <c:formatCode>#\ ##0.0_ ;\-#\ ##0.0\ </c:formatCode>
                <c:ptCount val="2"/>
                <c:pt idx="0">
                  <c:v>53999.999999999985</c:v>
                </c:pt>
                <c:pt idx="1">
                  <c:v>216000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49-1E42-8E51-2287FEC701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523989898989897"/>
          <c:y val="7.8395061728395068E-2"/>
          <c:w val="0.612104797979798"/>
          <c:h val="0.64125264550264549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76F-CC4E-820D-EF90B3ED935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76F-CC4E-820D-EF90B3ED935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76F-CC4E-820D-EF90B3ED9351}"/>
              </c:ext>
            </c:extLst>
          </c:dPt>
          <c:dLbls>
            <c:dLbl>
              <c:idx val="0"/>
              <c:layout>
                <c:manualLayout>
                  <c:x val="0.13610665723133761"/>
                  <c:y val="-0.1287918871252204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457987179299239"/>
                      <c:h val="0.1487742339042122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676F-CC4E-820D-EF90B3ED9351}"/>
                </c:ext>
              </c:extLst>
            </c:dLbl>
            <c:dLbl>
              <c:idx val="1"/>
              <c:layout>
                <c:manualLayout>
                  <c:x val="-0.17122483555283777"/>
                  <c:y val="4.89031448187695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76F-CC4E-820D-EF90B3ED9351}"/>
                </c:ext>
              </c:extLst>
            </c:dLbl>
            <c:dLbl>
              <c:idx val="2"/>
              <c:layout>
                <c:manualLayout>
                  <c:x val="-0.10690235690235694"/>
                  <c:y val="-7.27954144620811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76F-CC4E-820D-EF90B3ED93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Transaction!$B$25:$B$27</c:f>
              <c:strCache>
                <c:ptCount val="3"/>
                <c:pt idx="0">
                  <c:v>Senior Term Loan (TLB)</c:v>
                </c:pt>
                <c:pt idx="1">
                  <c:v>Mezzanine Debt</c:v>
                </c:pt>
                <c:pt idx="2">
                  <c:v>PIK Note</c:v>
                </c:pt>
              </c:strCache>
            </c:strRef>
          </c:cat>
          <c:val>
            <c:numRef>
              <c:f>Transaction!$D$25:$D$27</c:f>
              <c:numCache>
                <c:formatCode>0.0%</c:formatCode>
                <c:ptCount val="3"/>
                <c:pt idx="0">
                  <c:v>0.4</c:v>
                </c:pt>
                <c:pt idx="1">
                  <c:v>0.35</c:v>
                </c:pt>
                <c:pt idx="2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76F-CC4E-820D-EF90B3ED93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9347222222222221E-2"/>
          <c:y val="0.77564417989417977"/>
          <c:w val="0.94803072390572396"/>
          <c:h val="0.224355820105820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541948083691125E-2"/>
          <c:y val="6.3613463286334354E-2"/>
          <c:w val="0.9329161038326178"/>
          <c:h val="0.78949726694340272"/>
        </c:manualLayout>
      </c:layout>
      <c:lineChart>
        <c:grouping val="standard"/>
        <c:varyColors val="0"/>
        <c:ser>
          <c:idx val="0"/>
          <c:order val="0"/>
          <c:tx>
            <c:strRef>
              <c:f>FS!$G$2:$K$2</c:f>
              <c:strCache>
                <c:ptCount val="5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</c:strCache>
            </c:strRef>
          </c:tx>
          <c:spPr>
            <a:ln w="19050" cap="rnd">
              <a:gradFill>
                <a:gsLst>
                  <a:gs pos="0">
                    <a:schemeClr val="tx1">
                      <a:lumMod val="50000"/>
                      <a:lumOff val="50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3"/>
                  </a:gs>
                </a:gsLst>
                <a:lin ang="5400000" scaled="1"/>
              </a:gradFill>
              <a:round/>
            </a:ln>
            <a:effectLst/>
          </c:spPr>
          <c:marker>
            <c:symbol val="diamond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0.10446926684978228"/>
                  <c:y val="9.14599016746043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42-0247-88FC-D07058404C45}"/>
                </c:ext>
              </c:extLst>
            </c:dLbl>
            <c:dLbl>
              <c:idx val="1"/>
              <c:layout>
                <c:manualLayout>
                  <c:x val="-5.5307258920473008E-2"/>
                  <c:y val="-7.92652481179904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42-0247-88FC-D07058404C45}"/>
                </c:ext>
              </c:extLst>
            </c:dLbl>
            <c:dLbl>
              <c:idx val="2"/>
              <c:layout>
                <c:manualLayout>
                  <c:x val="-9.2178764867454927E-3"/>
                  <c:y val="-7.3167921339683514E-2"/>
                </c:manualLayout>
              </c:layout>
              <c:numFmt formatCode="#\ ##0.0\(\x\)&quot; &quot;;\(#\ ##0.0\);\-&quot; &quot;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183518485229503"/>
                      <c:h val="0.1427384198801659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0E42-0247-88FC-D07058404C45}"/>
                </c:ext>
              </c:extLst>
            </c:dLbl>
            <c:dLbl>
              <c:idx val="3"/>
              <c:layout>
                <c:manualLayout>
                  <c:x val="-1.8435752973490985E-2"/>
                  <c:y val="-7.92652481179904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E42-0247-88FC-D07058404C45}"/>
                </c:ext>
              </c:extLst>
            </c:dLbl>
            <c:dLbl>
              <c:idx val="4"/>
              <c:layout>
                <c:manualLayout>
                  <c:x val="-2.1508378469072813E-2"/>
                  <c:y val="-9.75572284529113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E42-0247-88FC-D07058404C45}"/>
                </c:ext>
              </c:extLst>
            </c:dLbl>
            <c:numFmt formatCode="#\ ##0.0\(\x\)&quot; &quot;;\(#\ ##0.0\);\-&quot; 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FS!$G$2:$K$2</c:f>
              <c:numCache>
                <c:formatCode>General</c:formatCode>
                <c:ptCount val="5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</c:numCache>
            </c:numRef>
          </c:cat>
          <c:val>
            <c:numRef>
              <c:f>FS!$G$28:$K$28</c:f>
              <c:numCache>
                <c:formatCode>#\ ##0.0\(\x\)" ";\(#\ ##0.0\);\-" "</c:formatCode>
                <c:ptCount val="5"/>
                <c:pt idx="0">
                  <c:v>3.315082015275566</c:v>
                </c:pt>
                <c:pt idx="1">
                  <c:v>2.7719961535421387</c:v>
                </c:pt>
                <c:pt idx="2">
                  <c:v>2.8323362463157928</c:v>
                </c:pt>
                <c:pt idx="3">
                  <c:v>1.5820625673679527</c:v>
                </c:pt>
                <c:pt idx="4">
                  <c:v>1.4861454872459989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0E42-0247-88FC-D07058404C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898000"/>
        <c:axId val="100875152"/>
      </c:lineChart>
      <c:catAx>
        <c:axId val="100898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RU"/>
          </a:p>
        </c:txPr>
        <c:crossAx val="100875152"/>
        <c:crosses val="autoZero"/>
        <c:auto val="1"/>
        <c:lblAlgn val="ctr"/>
        <c:lblOffset val="100"/>
        <c:noMultiLvlLbl val="0"/>
      </c:catAx>
      <c:valAx>
        <c:axId val="100875152"/>
        <c:scaling>
          <c:orientation val="minMax"/>
          <c:min val="1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\ ##0.0\(\x\)&quot; &quot;;\(#\ ##0.0\);\-&quot; &quot;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RU"/>
          </a:p>
        </c:txPr>
        <c:crossAx val="100898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541948083691125E-2"/>
          <c:y val="6.3613463286334354E-2"/>
          <c:w val="0.9329161038326178"/>
          <c:h val="0.789497266943402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FS!$G$2:$K$2</c:f>
              <c:strCache>
                <c:ptCount val="5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</c:strCache>
            </c:strRef>
          </c:tx>
          <c:spPr>
            <a:gradFill>
              <a:gsLst>
                <a:gs pos="0">
                  <a:schemeClr val="tx1">
                    <a:lumMod val="50000"/>
                    <a:lumOff val="50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3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numFmt formatCode="#\ ##0.0&quot; &quot;;\(#\ ##0.0\);\-&quot; 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FS!$G$2:$K$2</c:f>
              <c:numCache>
                <c:formatCode>General</c:formatCode>
                <c:ptCount val="5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</c:numCache>
            </c:numRef>
          </c:cat>
          <c:val>
            <c:numRef>
              <c:f>FS!$G$82:$K$82</c:f>
              <c:numCache>
                <c:formatCode>#\ ##0.0</c:formatCode>
                <c:ptCount val="5"/>
                <c:pt idx="0">
                  <c:v>51920.010502283105</c:v>
                </c:pt>
                <c:pt idx="1">
                  <c:v>48335.335248566509</c:v>
                </c:pt>
                <c:pt idx="2">
                  <c:v>49683.356168402221</c:v>
                </c:pt>
                <c:pt idx="3">
                  <c:v>83890.517443751669</c:v>
                </c:pt>
                <c:pt idx="4">
                  <c:v>49560.147334527923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C7-8B48-A759-8838DC4411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0898000"/>
        <c:axId val="100875152"/>
      </c:barChart>
      <c:catAx>
        <c:axId val="100898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RU"/>
          </a:p>
        </c:txPr>
        <c:crossAx val="100875152"/>
        <c:crosses val="autoZero"/>
        <c:auto val="1"/>
        <c:lblAlgn val="ctr"/>
        <c:lblOffset val="100"/>
        <c:noMultiLvlLbl val="0"/>
      </c:catAx>
      <c:valAx>
        <c:axId val="100875152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crossAx val="100898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541948083691125E-2"/>
          <c:y val="6.3613463286334354E-2"/>
          <c:w val="0.9329161038326178"/>
          <c:h val="0.7468159471500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FS!$G$2:$K$2</c:f>
              <c:strCache>
                <c:ptCount val="5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</c:strCache>
            </c:strRef>
          </c:tx>
          <c:spPr>
            <a:gradFill>
              <a:gsLst>
                <a:gs pos="0">
                  <a:schemeClr val="bg2">
                    <a:lumMod val="50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rgbClr val="7030A0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numFmt formatCode="#\ ##0.0&quot; &quot;;\(#\ ##0.0\);\-&quot; 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FS!$G$2:$K$2</c:f>
              <c:numCache>
                <c:formatCode>General</c:formatCode>
                <c:ptCount val="5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</c:numCache>
            </c:numRef>
          </c:cat>
          <c:val>
            <c:numRef>
              <c:f>FS!$G$72:$K$72</c:f>
              <c:numCache>
                <c:formatCode>#\ ##0.0" ";\(#\ ##0.0\);\-" "</c:formatCode>
                <c:ptCount val="5"/>
                <c:pt idx="0">
                  <c:v>-51920.010502283105</c:v>
                </c:pt>
                <c:pt idx="1">
                  <c:v>-48335.335248566509</c:v>
                </c:pt>
                <c:pt idx="2">
                  <c:v>-13525.880036154205</c:v>
                </c:pt>
                <c:pt idx="3">
                  <c:v>-83890.517443751669</c:v>
                </c:pt>
                <c:pt idx="4">
                  <c:v>-15194.515309623228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2D-8543-A606-360471E4A2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0898000"/>
        <c:axId val="100875152"/>
      </c:barChart>
      <c:catAx>
        <c:axId val="100898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RU"/>
          </a:p>
        </c:txPr>
        <c:crossAx val="100875152"/>
        <c:crosses val="autoZero"/>
        <c:auto val="1"/>
        <c:lblAlgn val="ctr"/>
        <c:lblOffset val="100"/>
        <c:noMultiLvlLbl val="0"/>
      </c:catAx>
      <c:valAx>
        <c:axId val="100875152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\ ##0.0&quot; &quot;;\(#\ ##0.0\);\-&quot; &quot;" sourceLinked="1"/>
        <c:majorTickMark val="none"/>
        <c:minorTickMark val="none"/>
        <c:tickLblPos val="nextTo"/>
        <c:crossAx val="100898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127000</xdr:colOff>
      <xdr:row>0</xdr:row>
      <xdr:rowOff>92364</xdr:rowOff>
    </xdr:from>
    <xdr:to>
      <xdr:col>3</xdr:col>
      <xdr:colOff>88900</xdr:colOff>
      <xdr:row>32</xdr:row>
      <xdr:rowOff>57728</xdr:rowOff>
    </xdr:to>
    <xdr:sp macro="" textlink="">
      <xdr:nvSpPr>
        <xdr:cNvPr id="45" name="Скругленный прямоугольник 31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/>
      </xdr:nvSpPr>
      <xdr:spPr>
        <a:xfrm>
          <a:off x="127000" y="92364"/>
          <a:ext cx="2559627" cy="6246091"/>
        </a:xfrm>
        <a:prstGeom prst="roundRect">
          <a:avLst>
            <a:gd name="adj" fmla="val 1581"/>
          </a:avLst>
        </a:prstGeom>
        <a:solidFill>
          <a:schemeClr val="bg1">
            <a:lumMod val="75000"/>
          </a:schemeClr>
        </a:solidFill>
        <a:ln>
          <a:noFill/>
        </a:ln>
        <a:effectLst>
          <a:outerShdw blurRad="289532" dist="50800" dir="2700000" algn="tl" rotWithShape="0">
            <a:prstClr val="black">
              <a:alpha val="12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algn="ctr"/>
          <a:endParaRPr lang="ru-RU" sz="2000">
            <a:solidFill>
              <a:schemeClr val="bg1">
                <a:lumMod val="50000"/>
              </a:schemeClr>
            </a:solidFill>
          </a:endParaRPr>
        </a:p>
      </xdr:txBody>
    </xdr:sp>
    <xdr:clientData/>
  </xdr:twoCellAnchor>
  <xdr:twoCellAnchor>
    <xdr:from>
      <xdr:col>3</xdr:col>
      <xdr:colOff>241300</xdr:colOff>
      <xdr:row>0</xdr:row>
      <xdr:rowOff>76200</xdr:rowOff>
    </xdr:from>
    <xdr:to>
      <xdr:col>7</xdr:col>
      <xdr:colOff>800209</xdr:colOff>
      <xdr:row>16</xdr:row>
      <xdr:rowOff>31836</xdr:rowOff>
    </xdr:to>
    <xdr:sp macro="" textlink="">
      <xdr:nvSpPr>
        <xdr:cNvPr id="2" name="Скругленный прямоугольник 26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2839027" y="76200"/>
          <a:ext cx="4392000" cy="3096000"/>
        </a:xfrm>
        <a:prstGeom prst="roundRect">
          <a:avLst>
            <a:gd name="adj" fmla="val 4210"/>
          </a:avLst>
        </a:prstGeom>
        <a:solidFill>
          <a:schemeClr val="bg1"/>
        </a:solidFill>
        <a:ln>
          <a:noFill/>
        </a:ln>
        <a:effectLst>
          <a:outerShdw blurRad="289532" dist="50800" dir="2700000" algn="tl" rotWithShape="0">
            <a:prstClr val="black">
              <a:alpha val="12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3</xdr:col>
      <xdr:colOff>558800</xdr:colOff>
      <xdr:row>1</xdr:row>
      <xdr:rowOff>88900</xdr:rowOff>
    </xdr:from>
    <xdr:to>
      <xdr:col>5</xdr:col>
      <xdr:colOff>363411</xdr:colOff>
      <xdr:row>2</xdr:row>
      <xdr:rowOff>110066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3149600" y="279400"/>
          <a:ext cx="1709611" cy="2116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r>
            <a:rPr lang="en-US" sz="1200" b="1">
              <a:solidFill>
                <a:schemeClr val="dk1"/>
              </a:solidFill>
              <a:latin typeface="+mj-lt"/>
            </a:rPr>
            <a:t>FUNDS INVESTED</a:t>
          </a:r>
          <a:endParaRPr lang="ru-RU" sz="1200" b="1">
            <a:solidFill>
              <a:schemeClr val="bg1">
                <a:lumMod val="50000"/>
              </a:schemeClr>
            </a:solidFill>
            <a:latin typeface="+mj-lt"/>
          </a:endParaRPr>
        </a:p>
      </xdr:txBody>
    </xdr:sp>
    <xdr:clientData/>
  </xdr:twoCellAnchor>
  <xdr:twoCellAnchor>
    <xdr:from>
      <xdr:col>4</xdr:col>
      <xdr:colOff>488677</xdr:colOff>
      <xdr:row>11</xdr:row>
      <xdr:rowOff>108534</xdr:rowOff>
    </xdr:from>
    <xdr:to>
      <xdr:col>4</xdr:col>
      <xdr:colOff>668677</xdr:colOff>
      <xdr:row>12</xdr:row>
      <xdr:rowOff>61941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4033769" y="2165467"/>
          <a:ext cx="180000" cy="140400"/>
        </a:xfrm>
        <a:prstGeom prst="ellipse">
          <a:avLst/>
        </a:prstGeom>
        <a:solidFill>
          <a:srgbClr val="E8788C"/>
        </a:solidFill>
        <a:ln>
          <a:noFill/>
        </a:ln>
        <a:effectLst>
          <a:outerShdw blurRad="1270000" sx="200000" sy="200000" algn="ctr" rotWithShape="0">
            <a:srgbClr val="E8788C"/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317500</xdr:colOff>
      <xdr:row>9</xdr:row>
      <xdr:rowOff>172027</xdr:rowOff>
    </xdr:from>
    <xdr:to>
      <xdr:col>2</xdr:col>
      <xdr:colOff>726868</xdr:colOff>
      <xdr:row>14</xdr:row>
      <xdr:rowOff>157823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pSpPr/>
      </xdr:nvGrpSpPr>
      <xdr:grpSpPr>
        <a:xfrm>
          <a:off x="317500" y="1938482"/>
          <a:ext cx="2141186" cy="967159"/>
          <a:chOff x="5332422" y="4306851"/>
          <a:chExt cx="2019533" cy="1005707"/>
        </a:xfrm>
      </xdr:grpSpPr>
      <xdr:grpSp>
        <xdr:nvGrpSpPr>
          <xdr:cNvPr id="7" name="Group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GrpSpPr/>
        </xdr:nvGrpSpPr>
        <xdr:grpSpPr>
          <a:xfrm>
            <a:off x="5332422" y="4306851"/>
            <a:ext cx="2019533" cy="1005707"/>
            <a:chOff x="3207730" y="4246662"/>
            <a:chExt cx="2019533" cy="1005707"/>
          </a:xfrm>
        </xdr:grpSpPr>
        <xdr:grpSp>
          <xdr:nvGrpSpPr>
            <xdr:cNvPr id="10" name="Group 9">
              <a:extLst>
                <a:ext uri="{FF2B5EF4-FFF2-40B4-BE49-F238E27FC236}">
                  <a16:creationId xmlns:a16="http://schemas.microsoft.com/office/drawing/2014/main" id="{00000000-0008-0000-0200-00000A000000}"/>
                </a:ext>
              </a:extLst>
            </xdr:cNvPr>
            <xdr:cNvGrpSpPr/>
          </xdr:nvGrpSpPr>
          <xdr:grpSpPr>
            <a:xfrm>
              <a:off x="3207730" y="4246662"/>
              <a:ext cx="2019533" cy="1005707"/>
              <a:chOff x="3206745" y="4188441"/>
              <a:chExt cx="2020124" cy="990519"/>
            </a:xfrm>
          </xdr:grpSpPr>
          <xdr:sp macro="" textlink="">
            <xdr:nvSpPr>
              <xdr:cNvPr id="14" name="Скругленный прямоугольник 26">
                <a:extLst>
                  <a:ext uri="{FF2B5EF4-FFF2-40B4-BE49-F238E27FC236}">
                    <a16:creationId xmlns:a16="http://schemas.microsoft.com/office/drawing/2014/main" id="{00000000-0008-0000-0200-00000E000000}"/>
                  </a:ext>
                </a:extLst>
              </xdr:cNvPr>
              <xdr:cNvSpPr/>
            </xdr:nvSpPr>
            <xdr:spPr>
              <a:xfrm>
                <a:off x="3206745" y="4197000"/>
                <a:ext cx="2020124" cy="981960"/>
              </a:xfrm>
              <a:prstGeom prst="roundRect">
                <a:avLst>
                  <a:gd name="adj" fmla="val 8257"/>
                </a:avLst>
              </a:prstGeom>
              <a:solidFill>
                <a:schemeClr val="tx1">
                  <a:lumMod val="85000"/>
                  <a:lumOff val="1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ru-RU" sz="1100"/>
              </a:p>
            </xdr:txBody>
          </xdr:sp>
          <xdr:sp macro="" textlink="">
            <xdr:nvSpPr>
              <xdr:cNvPr id="15" name="Parallelogram 14">
                <a:extLst>
                  <a:ext uri="{FF2B5EF4-FFF2-40B4-BE49-F238E27FC236}">
                    <a16:creationId xmlns:a16="http://schemas.microsoft.com/office/drawing/2014/main" id="{00000000-0008-0000-0200-00000F000000}"/>
                  </a:ext>
                </a:extLst>
              </xdr:cNvPr>
              <xdr:cNvSpPr/>
            </xdr:nvSpPr>
            <xdr:spPr>
              <a:xfrm>
                <a:off x="4688500" y="4188441"/>
                <a:ext cx="445954" cy="363415"/>
              </a:xfrm>
              <a:prstGeom prst="parallelogram">
                <a:avLst>
                  <a:gd name="adj" fmla="val 71250"/>
                </a:avLst>
              </a:prstGeom>
              <a:solidFill>
                <a:schemeClr val="bg1">
                  <a:lumMod val="6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16" name="Parallelogram 15">
                <a:extLst>
                  <a:ext uri="{FF2B5EF4-FFF2-40B4-BE49-F238E27FC236}">
                    <a16:creationId xmlns:a16="http://schemas.microsoft.com/office/drawing/2014/main" id="{00000000-0008-0000-0200-000010000000}"/>
                  </a:ext>
                </a:extLst>
              </xdr:cNvPr>
              <xdr:cNvSpPr/>
            </xdr:nvSpPr>
            <xdr:spPr>
              <a:xfrm>
                <a:off x="4497455" y="4188441"/>
                <a:ext cx="446814" cy="363415"/>
              </a:xfrm>
              <a:prstGeom prst="parallelogram">
                <a:avLst>
                  <a:gd name="adj" fmla="val 71250"/>
                </a:avLst>
              </a:prstGeom>
              <a:solidFill>
                <a:schemeClr val="tx1">
                  <a:lumMod val="95000"/>
                  <a:lumOff val="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17" name="Parallelogram 16">
                <a:extLst>
                  <a:ext uri="{FF2B5EF4-FFF2-40B4-BE49-F238E27FC236}">
                    <a16:creationId xmlns:a16="http://schemas.microsoft.com/office/drawing/2014/main" id="{00000000-0008-0000-0200-000011000000}"/>
                  </a:ext>
                </a:extLst>
              </xdr:cNvPr>
              <xdr:cNvSpPr/>
            </xdr:nvSpPr>
            <xdr:spPr>
              <a:xfrm>
                <a:off x="4305818" y="4188441"/>
                <a:ext cx="446814" cy="363415"/>
              </a:xfrm>
              <a:prstGeom prst="parallelogram">
                <a:avLst>
                  <a:gd name="adj" fmla="val 71250"/>
                </a:avLst>
              </a:prstGeom>
              <a:solidFill>
                <a:schemeClr val="tx1">
                  <a:lumMod val="85000"/>
                  <a:lumOff val="1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18" name="Parallelogram 17">
                <a:extLst>
                  <a:ext uri="{FF2B5EF4-FFF2-40B4-BE49-F238E27FC236}">
                    <a16:creationId xmlns:a16="http://schemas.microsoft.com/office/drawing/2014/main" id="{00000000-0008-0000-0200-000012000000}"/>
                  </a:ext>
                </a:extLst>
              </xdr:cNvPr>
              <xdr:cNvSpPr/>
            </xdr:nvSpPr>
            <xdr:spPr>
              <a:xfrm>
                <a:off x="4114181" y="4188441"/>
                <a:ext cx="447408" cy="363415"/>
              </a:xfrm>
              <a:prstGeom prst="parallelogram">
                <a:avLst>
                  <a:gd name="adj" fmla="val 71250"/>
                </a:avLst>
              </a:prstGeom>
              <a:solidFill>
                <a:schemeClr val="bg1">
                  <a:lumMod val="6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19" name="Parallelogram 18">
                <a:extLst>
                  <a:ext uri="{FF2B5EF4-FFF2-40B4-BE49-F238E27FC236}">
                    <a16:creationId xmlns:a16="http://schemas.microsoft.com/office/drawing/2014/main" id="{00000000-0008-0000-0200-000013000000}"/>
                  </a:ext>
                </a:extLst>
              </xdr:cNvPr>
              <xdr:cNvSpPr/>
            </xdr:nvSpPr>
            <xdr:spPr>
              <a:xfrm>
                <a:off x="3922544" y="4188441"/>
                <a:ext cx="447408" cy="363415"/>
              </a:xfrm>
              <a:prstGeom prst="parallelogram">
                <a:avLst>
                  <a:gd name="adj" fmla="val 71250"/>
                </a:avLst>
              </a:prstGeom>
              <a:solidFill>
                <a:schemeClr val="tx2">
                  <a:lumMod val="75000"/>
                  <a:lumOff val="2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20" name="Triangle 19">
                <a:extLst>
                  <a:ext uri="{FF2B5EF4-FFF2-40B4-BE49-F238E27FC236}">
                    <a16:creationId xmlns:a16="http://schemas.microsoft.com/office/drawing/2014/main" id="{00000000-0008-0000-0200-000014000000}"/>
                  </a:ext>
                </a:extLst>
              </xdr:cNvPr>
              <xdr:cNvSpPr/>
            </xdr:nvSpPr>
            <xdr:spPr>
              <a:xfrm flipH="1" flipV="1">
                <a:off x="4685457" y="4552817"/>
                <a:ext cx="185005" cy="184203"/>
              </a:xfrm>
              <a:prstGeom prst="triangle">
                <a:avLst/>
              </a:prstGeom>
              <a:solidFill>
                <a:schemeClr val="bg1">
                  <a:lumMod val="6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21" name="Triangle 20">
                <a:extLst>
                  <a:ext uri="{FF2B5EF4-FFF2-40B4-BE49-F238E27FC236}">
                    <a16:creationId xmlns:a16="http://schemas.microsoft.com/office/drawing/2014/main" id="{00000000-0008-0000-0200-000015000000}"/>
                  </a:ext>
                </a:extLst>
              </xdr:cNvPr>
              <xdr:cNvSpPr/>
            </xdr:nvSpPr>
            <xdr:spPr>
              <a:xfrm flipH="1" flipV="1">
                <a:off x="4499250" y="4552817"/>
                <a:ext cx="184021" cy="184203"/>
              </a:xfrm>
              <a:prstGeom prst="triangle">
                <a:avLst/>
              </a:prstGeom>
              <a:solidFill>
                <a:schemeClr val="tx1">
                  <a:lumMod val="95000"/>
                  <a:lumOff val="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22" name="Triangle 21">
                <a:extLst>
                  <a:ext uri="{FF2B5EF4-FFF2-40B4-BE49-F238E27FC236}">
                    <a16:creationId xmlns:a16="http://schemas.microsoft.com/office/drawing/2014/main" id="{00000000-0008-0000-0200-000016000000}"/>
                  </a:ext>
                </a:extLst>
              </xdr:cNvPr>
              <xdr:cNvSpPr/>
            </xdr:nvSpPr>
            <xdr:spPr>
              <a:xfrm>
                <a:off x="4405527" y="4548724"/>
                <a:ext cx="185005" cy="184203"/>
              </a:xfrm>
              <a:prstGeom prst="triangle">
                <a:avLst/>
              </a:prstGeom>
              <a:gradFill>
                <a:gsLst>
                  <a:gs pos="100000">
                    <a:schemeClr val="tx1">
                      <a:lumMod val="65000"/>
                      <a:lumOff val="35000"/>
                    </a:schemeClr>
                  </a:gs>
                  <a:gs pos="100000">
                    <a:schemeClr val="accent1">
                      <a:lumMod val="45000"/>
                      <a:lumOff val="55000"/>
                    </a:schemeClr>
                  </a:gs>
                  <a:gs pos="11000">
                    <a:schemeClr val="accent1">
                      <a:lumMod val="45000"/>
                      <a:lumOff val="55000"/>
                    </a:schemeClr>
                  </a:gs>
                  <a:gs pos="100000">
                    <a:srgbClr val="6821E4"/>
                  </a:gs>
                </a:gsLst>
                <a:lin ang="5400000" scaled="1"/>
              </a:gra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23" name="Triangle 22">
                <a:extLst>
                  <a:ext uri="{FF2B5EF4-FFF2-40B4-BE49-F238E27FC236}">
                    <a16:creationId xmlns:a16="http://schemas.microsoft.com/office/drawing/2014/main" id="{00000000-0008-0000-0200-000017000000}"/>
                  </a:ext>
                </a:extLst>
              </xdr:cNvPr>
              <xdr:cNvSpPr/>
            </xdr:nvSpPr>
            <xdr:spPr>
              <a:xfrm flipH="1" flipV="1">
                <a:off x="4312196" y="4552817"/>
                <a:ext cx="185005" cy="184203"/>
              </a:xfrm>
              <a:prstGeom prst="triangle">
                <a:avLst/>
              </a:prstGeom>
              <a:solidFill>
                <a:schemeClr val="tx1">
                  <a:lumMod val="85000"/>
                  <a:lumOff val="1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24" name="Triangle 23">
                <a:extLst>
                  <a:ext uri="{FF2B5EF4-FFF2-40B4-BE49-F238E27FC236}">
                    <a16:creationId xmlns:a16="http://schemas.microsoft.com/office/drawing/2014/main" id="{00000000-0008-0000-0200-000018000000}"/>
                  </a:ext>
                </a:extLst>
              </xdr:cNvPr>
              <xdr:cNvSpPr/>
            </xdr:nvSpPr>
            <xdr:spPr>
              <a:xfrm>
                <a:off x="4218472" y="4548724"/>
                <a:ext cx="185005" cy="184203"/>
              </a:xfrm>
              <a:prstGeom prst="triangle">
                <a:avLst/>
              </a:prstGeom>
              <a:solidFill>
                <a:schemeClr val="bg1">
                  <a:lumMod val="6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25" name="Triangle 24">
                <a:extLst>
                  <a:ext uri="{FF2B5EF4-FFF2-40B4-BE49-F238E27FC236}">
                    <a16:creationId xmlns:a16="http://schemas.microsoft.com/office/drawing/2014/main" id="{00000000-0008-0000-0200-000019000000}"/>
                  </a:ext>
                </a:extLst>
              </xdr:cNvPr>
              <xdr:cNvSpPr/>
            </xdr:nvSpPr>
            <xdr:spPr>
              <a:xfrm flipH="1" flipV="1">
                <a:off x="4110698" y="4552816"/>
                <a:ext cx="203344" cy="184203"/>
              </a:xfrm>
              <a:prstGeom prst="triangle">
                <a:avLst/>
              </a:prstGeom>
              <a:solidFill>
                <a:schemeClr val="tx1">
                  <a:lumMod val="95000"/>
                  <a:lumOff val="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26" name="Triangle 25">
                <a:extLst>
                  <a:ext uri="{FF2B5EF4-FFF2-40B4-BE49-F238E27FC236}">
                    <a16:creationId xmlns:a16="http://schemas.microsoft.com/office/drawing/2014/main" id="{00000000-0008-0000-0200-00001A000000}"/>
                  </a:ext>
                </a:extLst>
              </xdr:cNvPr>
              <xdr:cNvSpPr/>
            </xdr:nvSpPr>
            <xdr:spPr>
              <a:xfrm flipH="1" flipV="1">
                <a:off x="4623061" y="4372487"/>
                <a:ext cx="184215" cy="184204"/>
              </a:xfrm>
              <a:prstGeom prst="triangle">
                <a:avLst>
                  <a:gd name="adj" fmla="val 67003"/>
                </a:avLst>
              </a:prstGeom>
              <a:solidFill>
                <a:srgbClr val="F7D366"/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27" name="Triangle 26">
                <a:extLst>
                  <a:ext uri="{FF2B5EF4-FFF2-40B4-BE49-F238E27FC236}">
                    <a16:creationId xmlns:a16="http://schemas.microsoft.com/office/drawing/2014/main" id="{00000000-0008-0000-0200-00001B000000}"/>
                  </a:ext>
                </a:extLst>
              </xdr:cNvPr>
              <xdr:cNvSpPr/>
            </xdr:nvSpPr>
            <xdr:spPr>
              <a:xfrm flipH="1" flipV="1">
                <a:off x="3843329" y="4194781"/>
                <a:ext cx="332125" cy="363877"/>
              </a:xfrm>
              <a:prstGeom prst="triangle">
                <a:avLst>
                  <a:gd name="adj" fmla="val 77581"/>
                </a:avLst>
              </a:prstGeom>
              <a:solidFill>
                <a:schemeClr val="tx1">
                  <a:lumMod val="75000"/>
                  <a:lumOff val="2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</xdr:grpSp>
        <xdr:grpSp>
          <xdr:nvGrpSpPr>
            <xdr:cNvPr id="11" name="Group 10">
              <a:extLst>
                <a:ext uri="{FF2B5EF4-FFF2-40B4-BE49-F238E27FC236}">
                  <a16:creationId xmlns:a16="http://schemas.microsoft.com/office/drawing/2014/main" id="{00000000-0008-0000-0200-00000B000000}"/>
                </a:ext>
              </a:extLst>
            </xdr:cNvPr>
            <xdr:cNvGrpSpPr/>
          </xdr:nvGrpSpPr>
          <xdr:grpSpPr>
            <a:xfrm>
              <a:off x="3270398" y="4661876"/>
              <a:ext cx="1685342" cy="568999"/>
              <a:chOff x="3270398" y="4661876"/>
              <a:chExt cx="1685342" cy="568999"/>
            </a:xfrm>
          </xdr:grpSpPr>
          <xdr:sp macro="" textlink="">
            <xdr:nvSpPr>
              <xdr:cNvPr id="12" name="TextBox 11">
                <a:extLst>
                  <a:ext uri="{FF2B5EF4-FFF2-40B4-BE49-F238E27FC236}">
                    <a16:creationId xmlns:a16="http://schemas.microsoft.com/office/drawing/2014/main" id="{00000000-0008-0000-0200-00000C000000}"/>
                  </a:ext>
                </a:extLst>
              </xdr:cNvPr>
              <xdr:cNvSpPr txBox="1"/>
            </xdr:nvSpPr>
            <xdr:spPr>
              <a:xfrm>
                <a:off x="3305304" y="4887224"/>
                <a:ext cx="1650436" cy="343651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lIns="0" tIns="0" rIns="0" bIns="0" rtlCol="0" anchor="ctr"/>
              <a:lstStyle/>
              <a:p>
                <a:pPr algn="l"/>
                <a:r>
                  <a:rPr lang="en-US" sz="1400" b="1" i="0">
                    <a:solidFill>
                      <a:schemeClr val="bg1"/>
                    </a:solidFill>
                    <a:latin typeface="Avenir Book" panose="02000503020000020003" pitchFamily="2" charset="0"/>
                  </a:rPr>
                  <a:t>MOIC</a:t>
                </a:r>
                <a:endParaRPr lang="ru-RU" sz="900" b="1" i="1">
                  <a:solidFill>
                    <a:schemeClr val="bg1"/>
                  </a:solidFill>
                  <a:latin typeface="+mj-lt"/>
                </a:endParaRPr>
              </a:p>
            </xdr:txBody>
          </xdr:sp>
          <xdr:sp macro="" textlink="'IRR Waterfall'!J25">
            <xdr:nvSpPr>
              <xdr:cNvPr id="13" name="TextBox 12">
                <a:extLst>
                  <a:ext uri="{FF2B5EF4-FFF2-40B4-BE49-F238E27FC236}">
                    <a16:creationId xmlns:a16="http://schemas.microsoft.com/office/drawing/2014/main" id="{00000000-0008-0000-0200-00000D000000}"/>
                  </a:ext>
                </a:extLst>
              </xdr:cNvPr>
              <xdr:cNvSpPr txBox="1"/>
            </xdr:nvSpPr>
            <xdr:spPr>
              <a:xfrm>
                <a:off x="3270398" y="4661876"/>
                <a:ext cx="860206" cy="325531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lIns="0" tIns="0" rIns="0" bIns="0" rtlCol="0" anchor="t"/>
              <a:lstStyle/>
              <a:p>
                <a:pPr algn="l"/>
                <a:fld id="{78007FB5-C66A-A24D-8B81-A55F914B47A3}" type="TxLink">
                  <a:rPr lang="en-US" sz="1800" b="0" i="0" u="none" strike="noStrike">
                    <a:solidFill>
                      <a:schemeClr val="bg1"/>
                    </a:solidFill>
                    <a:latin typeface="Montserrat Regular"/>
                  </a:rPr>
                  <a:pPr algn="l"/>
                  <a:t>8,5(x) </a:t>
                </a:fld>
                <a:endParaRPr lang="ru-RU" sz="4000" b="1">
                  <a:solidFill>
                    <a:schemeClr val="bg1"/>
                  </a:solidFill>
                  <a:latin typeface="+mj-lt"/>
                </a:endParaRPr>
              </a:p>
            </xdr:txBody>
          </xdr:sp>
        </xdr:grpSp>
      </xdr:grpSp>
      <xdr:sp macro="" textlink="">
        <xdr:nvSpPr>
          <xdr:cNvPr id="8" name="Triangle 7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SpPr/>
        </xdr:nvSpPr>
        <xdr:spPr>
          <a:xfrm>
            <a:off x="6725190" y="4678216"/>
            <a:ext cx="182625" cy="186735"/>
          </a:xfrm>
          <a:prstGeom prst="triangle">
            <a:avLst/>
          </a:prstGeom>
          <a:gradFill>
            <a:gsLst>
              <a:gs pos="100000">
                <a:schemeClr val="tx1">
                  <a:lumMod val="65000"/>
                  <a:lumOff val="35000"/>
                </a:schemeClr>
              </a:gs>
              <a:gs pos="100000">
                <a:schemeClr val="accent1">
                  <a:lumMod val="45000"/>
                  <a:lumOff val="55000"/>
                </a:schemeClr>
              </a:gs>
              <a:gs pos="11000">
                <a:schemeClr val="accent1">
                  <a:lumMod val="45000"/>
                  <a:lumOff val="55000"/>
                </a:schemeClr>
              </a:gs>
              <a:gs pos="100000">
                <a:srgbClr val="6821E4"/>
              </a:gs>
            </a:gsLst>
            <a:lin ang="5400000" scaled="1"/>
          </a:gradFill>
          <a:ln>
            <a:noFill/>
          </a:ln>
          <a:effectLst>
            <a:outerShdw blurRad="289532" dist="50800" dir="2700000" algn="tl" rotWithShape="0">
              <a:prstClr val="black">
                <a:alpha val="12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9" name="Triangle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/>
        </xdr:nvSpPr>
        <xdr:spPr>
          <a:xfrm>
            <a:off x="6446404" y="4491653"/>
            <a:ext cx="185005" cy="186735"/>
          </a:xfrm>
          <a:prstGeom prst="triangle">
            <a:avLst>
              <a:gd name="adj" fmla="val 68937"/>
            </a:avLst>
          </a:prstGeom>
          <a:solidFill>
            <a:schemeClr val="tx1">
              <a:lumMod val="95000"/>
              <a:lumOff val="5000"/>
            </a:schemeClr>
          </a:solidFill>
          <a:ln>
            <a:noFill/>
          </a:ln>
          <a:effectLst>
            <a:outerShdw blurRad="289532" dist="50800" dir="2700000" algn="tl" rotWithShape="0">
              <a:prstClr val="black">
                <a:alpha val="12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>
    <xdr:from>
      <xdr:col>0</xdr:col>
      <xdr:colOff>228600</xdr:colOff>
      <xdr:row>1</xdr:row>
      <xdr:rowOff>139700</xdr:rowOff>
    </xdr:from>
    <xdr:to>
      <xdr:col>3</xdr:col>
      <xdr:colOff>17314</xdr:colOff>
      <xdr:row>8</xdr:row>
      <xdr:rowOff>61603</xdr:rowOff>
    </xdr:to>
    <xdr:grpSp>
      <xdr:nvGrpSpPr>
        <xdr:cNvPr id="28" name="Group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pSpPr/>
      </xdr:nvGrpSpPr>
      <xdr:grpSpPr>
        <a:xfrm>
          <a:off x="228600" y="335973"/>
          <a:ext cx="2386441" cy="1295812"/>
          <a:chOff x="1026649" y="4013009"/>
          <a:chExt cx="2256705" cy="1355524"/>
        </a:xfrm>
      </xdr:grpSpPr>
      <xdr:sp macro="" textlink="">
        <xdr:nvSpPr>
          <xdr:cNvPr id="29" name="Freeform 28">
            <a:extLst>
              <a:ext uri="{FF2B5EF4-FFF2-40B4-BE49-F238E27FC236}">
                <a16:creationId xmlns:a16="http://schemas.microsoft.com/office/drawing/2014/main" id="{00000000-0008-0000-0200-00001D000000}"/>
              </a:ext>
            </a:extLst>
          </xdr:cNvPr>
          <xdr:cNvSpPr/>
        </xdr:nvSpPr>
        <xdr:spPr>
          <a:xfrm rot="855225">
            <a:off x="1026649" y="4805497"/>
            <a:ext cx="2074135" cy="563036"/>
          </a:xfrm>
          <a:custGeom>
            <a:avLst/>
            <a:gdLst>
              <a:gd name="connsiteX0" fmla="*/ 16057 w 2093552"/>
              <a:gd name="connsiteY0" fmla="*/ 6684 h 639262"/>
              <a:gd name="connsiteX1" fmla="*/ 49165 w 2093552"/>
              <a:gd name="connsiteY1" fmla="*/ 0 h 639262"/>
              <a:gd name="connsiteX2" fmla="*/ 2008495 w 2093552"/>
              <a:gd name="connsiteY2" fmla="*/ 0 h 639262"/>
              <a:gd name="connsiteX3" fmla="*/ 2093552 w 2093552"/>
              <a:gd name="connsiteY3" fmla="*/ 85056 h 639262"/>
              <a:gd name="connsiteX4" fmla="*/ 2093552 w 2093552"/>
              <a:gd name="connsiteY4" fmla="*/ 149626 h 639262"/>
              <a:gd name="connsiteX5" fmla="*/ 2081417 w 2093552"/>
              <a:gd name="connsiteY5" fmla="*/ 163218 h 639262"/>
              <a:gd name="connsiteX6" fmla="*/ 2050974 w 2093552"/>
              <a:gd name="connsiteY6" fmla="*/ 177848 h 639262"/>
              <a:gd name="connsiteX7" fmla="*/ 245036 w 2093552"/>
              <a:gd name="connsiteY7" fmla="*/ 636624 h 639262"/>
              <a:gd name="connsiteX8" fmla="*/ 141656 w 2093552"/>
              <a:gd name="connsiteY8" fmla="*/ 575128 h 639262"/>
              <a:gd name="connsiteX9" fmla="*/ 0 w 2093552"/>
              <a:gd name="connsiteY9" fmla="*/ 17510 h 639262"/>
              <a:gd name="connsiteX10" fmla="*/ 16057 w 2093552"/>
              <a:gd name="connsiteY10" fmla="*/ 6684 h 63926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</a:cxnLst>
            <a:rect l="l" t="t" r="r" b="b"/>
            <a:pathLst>
              <a:path w="2093552" h="639262">
                <a:moveTo>
                  <a:pt x="16057" y="6684"/>
                </a:moveTo>
                <a:cubicBezTo>
                  <a:pt x="26233" y="2380"/>
                  <a:pt x="37421" y="0"/>
                  <a:pt x="49165" y="0"/>
                </a:cubicBezTo>
                <a:lnTo>
                  <a:pt x="2008495" y="0"/>
                </a:lnTo>
                <a:cubicBezTo>
                  <a:pt x="2055470" y="0"/>
                  <a:pt x="2093552" y="38081"/>
                  <a:pt x="2093552" y="85056"/>
                </a:cubicBezTo>
                <a:lnTo>
                  <a:pt x="2093552" y="149626"/>
                </a:lnTo>
                <a:lnTo>
                  <a:pt x="2081417" y="163218"/>
                </a:lnTo>
                <a:cubicBezTo>
                  <a:pt x="2072613" y="169895"/>
                  <a:pt x="2062356" y="174957"/>
                  <a:pt x="2050974" y="177848"/>
                </a:cubicBezTo>
                <a:lnTo>
                  <a:pt x="245036" y="636624"/>
                </a:lnTo>
                <a:cubicBezTo>
                  <a:pt x="199507" y="648190"/>
                  <a:pt x="153222" y="620657"/>
                  <a:pt x="141656" y="575128"/>
                </a:cubicBezTo>
                <a:lnTo>
                  <a:pt x="0" y="17510"/>
                </a:lnTo>
                <a:lnTo>
                  <a:pt x="16057" y="6684"/>
                </a:lnTo>
                <a:close/>
              </a:path>
            </a:pathLst>
          </a:custGeom>
          <a:gradFill>
            <a:gsLst>
              <a:gs pos="0">
                <a:srgbClr val="E8788C"/>
              </a:gs>
              <a:gs pos="74000">
                <a:schemeClr val="accent1">
                  <a:lumMod val="45000"/>
                  <a:lumOff val="55000"/>
                </a:schemeClr>
              </a:gs>
              <a:gs pos="83000">
                <a:schemeClr val="accent1">
                  <a:lumMod val="45000"/>
                  <a:lumOff val="55000"/>
                </a:schemeClr>
              </a:gs>
              <a:gs pos="100000">
                <a:schemeClr val="accent1">
                  <a:lumMod val="30000"/>
                  <a:lumOff val="70000"/>
                </a:schemeClr>
              </a:gs>
            </a:gsLst>
            <a:lin ang="5400000" scaled="1"/>
          </a:gradFill>
          <a:ln>
            <a:noFill/>
          </a:ln>
          <a:effectLst>
            <a:outerShdw blurRad="289532" dist="50800" dir="2700000" algn="tl" rotWithShape="0">
              <a:prstClr val="black">
                <a:alpha val="12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t">
            <a:no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ru-RU" sz="1100"/>
          </a:p>
        </xdr:txBody>
      </xdr:sp>
      <xdr:sp macro="" textlink="">
        <xdr:nvSpPr>
          <xdr:cNvPr id="30" name="Freeform 29">
            <a:extLst>
              <a:ext uri="{FF2B5EF4-FFF2-40B4-BE49-F238E27FC236}">
                <a16:creationId xmlns:a16="http://schemas.microsoft.com/office/drawing/2014/main" id="{00000000-0008-0000-0200-00001E000000}"/>
              </a:ext>
            </a:extLst>
          </xdr:cNvPr>
          <xdr:cNvSpPr/>
        </xdr:nvSpPr>
        <xdr:spPr>
          <a:xfrm rot="855225">
            <a:off x="1116351" y="4013009"/>
            <a:ext cx="2167003" cy="951604"/>
          </a:xfrm>
          <a:custGeom>
            <a:avLst/>
            <a:gdLst>
              <a:gd name="connsiteX0" fmla="*/ 64134 w 2187835"/>
              <a:gd name="connsiteY0" fmla="*/ 461414 h 972814"/>
              <a:gd name="connsiteX1" fmla="*/ 1870072 w 2187835"/>
              <a:gd name="connsiteY1" fmla="*/ 2638 h 972814"/>
              <a:gd name="connsiteX2" fmla="*/ 1973451 w 2187835"/>
              <a:gd name="connsiteY2" fmla="*/ 64134 h 972814"/>
              <a:gd name="connsiteX3" fmla="*/ 2185197 w 2187835"/>
              <a:gd name="connsiteY3" fmla="*/ 897656 h 972814"/>
              <a:gd name="connsiteX4" fmla="*/ 2175861 w 2187835"/>
              <a:gd name="connsiteY4" fmla="*/ 962083 h 972814"/>
              <a:gd name="connsiteX5" fmla="*/ 2166280 w 2187835"/>
              <a:gd name="connsiteY5" fmla="*/ 972814 h 972814"/>
              <a:gd name="connsiteX6" fmla="*/ 2166280 w 2187835"/>
              <a:gd name="connsiteY6" fmla="*/ 908244 h 972814"/>
              <a:gd name="connsiteX7" fmla="*/ 2081223 w 2187835"/>
              <a:gd name="connsiteY7" fmla="*/ 823188 h 972814"/>
              <a:gd name="connsiteX8" fmla="*/ 121893 w 2187835"/>
              <a:gd name="connsiteY8" fmla="*/ 823188 h 972814"/>
              <a:gd name="connsiteX9" fmla="*/ 88785 w 2187835"/>
              <a:gd name="connsiteY9" fmla="*/ 829872 h 972814"/>
              <a:gd name="connsiteX10" fmla="*/ 72728 w 2187835"/>
              <a:gd name="connsiteY10" fmla="*/ 840698 h 972814"/>
              <a:gd name="connsiteX11" fmla="*/ 2638 w 2187835"/>
              <a:gd name="connsiteY11" fmla="*/ 564794 h 972814"/>
              <a:gd name="connsiteX12" fmla="*/ 64134 w 2187835"/>
              <a:gd name="connsiteY12" fmla="*/ 461414 h 97281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</a:cxnLst>
            <a:rect l="l" t="t" r="r" b="b"/>
            <a:pathLst>
              <a:path w="2187835" h="972814">
                <a:moveTo>
                  <a:pt x="64134" y="461414"/>
                </a:moveTo>
                <a:lnTo>
                  <a:pt x="1870072" y="2638"/>
                </a:lnTo>
                <a:cubicBezTo>
                  <a:pt x="1915600" y="-8928"/>
                  <a:pt x="1961885" y="18605"/>
                  <a:pt x="1973451" y="64134"/>
                </a:cubicBezTo>
                <a:lnTo>
                  <a:pt x="2185197" y="897656"/>
                </a:lnTo>
                <a:cubicBezTo>
                  <a:pt x="2190980" y="920421"/>
                  <a:pt x="2186989" y="943374"/>
                  <a:pt x="2175861" y="962083"/>
                </a:cubicBezTo>
                <a:lnTo>
                  <a:pt x="2166280" y="972814"/>
                </a:lnTo>
                <a:lnTo>
                  <a:pt x="2166280" y="908244"/>
                </a:lnTo>
                <a:cubicBezTo>
                  <a:pt x="2166280" y="861269"/>
                  <a:pt x="2128198" y="823188"/>
                  <a:pt x="2081223" y="823188"/>
                </a:cubicBezTo>
                <a:lnTo>
                  <a:pt x="121893" y="823188"/>
                </a:lnTo>
                <a:cubicBezTo>
                  <a:pt x="110149" y="823188"/>
                  <a:pt x="98961" y="825568"/>
                  <a:pt x="88785" y="829872"/>
                </a:cubicBezTo>
                <a:lnTo>
                  <a:pt x="72728" y="840698"/>
                </a:lnTo>
                <a:lnTo>
                  <a:pt x="2638" y="564794"/>
                </a:lnTo>
                <a:cubicBezTo>
                  <a:pt x="-8928" y="519265"/>
                  <a:pt x="18605" y="472980"/>
                  <a:pt x="64134" y="461414"/>
                </a:cubicBezTo>
                <a:close/>
              </a:path>
            </a:pathLst>
          </a:custGeom>
          <a:solidFill>
            <a:schemeClr val="bg1">
              <a:lumMod val="50000"/>
            </a:schemeClr>
          </a:solidFill>
          <a:ln>
            <a:noFill/>
          </a:ln>
          <a:effectLst>
            <a:outerShdw blurRad="289532" dist="50800" dir="2700000" algn="tl" rotWithShape="0">
              <a:prstClr val="black">
                <a:alpha val="12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t">
            <a:no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ru-RU" sz="1100"/>
          </a:p>
        </xdr:txBody>
      </xdr:sp>
      <xdr:sp macro="" textlink="">
        <xdr:nvSpPr>
          <xdr:cNvPr id="31" name="TextBox 30">
            <a:extLst>
              <a:ext uri="{FF2B5EF4-FFF2-40B4-BE49-F238E27FC236}">
                <a16:creationId xmlns:a16="http://schemas.microsoft.com/office/drawing/2014/main" id="{00000000-0008-0000-0200-00001F000000}"/>
              </a:ext>
            </a:extLst>
          </xdr:cNvPr>
          <xdr:cNvSpPr txBox="1"/>
        </xdr:nvSpPr>
        <xdr:spPr>
          <a:xfrm>
            <a:off x="1226315" y="4646230"/>
            <a:ext cx="1639249" cy="57319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ctr"/>
          <a:lstStyle/>
          <a:p>
            <a:pPr algn="l"/>
            <a:r>
              <a:rPr lang="en-US" sz="1400" b="1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</a:rPr>
              <a:t>IRR</a:t>
            </a:r>
          </a:p>
          <a:p>
            <a:pPr algn="l"/>
            <a:r>
              <a:rPr lang="en-US" sz="1050" b="0" i="1">
                <a:solidFill>
                  <a:schemeClr val="tx1">
                    <a:lumMod val="65000"/>
                    <a:lumOff val="35000"/>
                  </a:schemeClr>
                </a:solidFill>
                <a:latin typeface="Avenir Book" panose="02000503020000020003" pitchFamily="2" charset="0"/>
              </a:rPr>
              <a:t>5 </a:t>
            </a:r>
            <a:r>
              <a:rPr lang="en-US" sz="1050" b="0" i="1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</a:rPr>
              <a:t>year</a:t>
            </a:r>
            <a:r>
              <a:rPr lang="en-US" sz="1050" b="0" i="1">
                <a:solidFill>
                  <a:schemeClr val="tx1">
                    <a:lumMod val="65000"/>
                    <a:lumOff val="35000"/>
                  </a:schemeClr>
                </a:solidFill>
                <a:latin typeface="Avenir Book" panose="02000503020000020003" pitchFamily="2" charset="0"/>
              </a:rPr>
              <a:t> horizon</a:t>
            </a:r>
            <a:endParaRPr lang="ru-RU" sz="900" b="0" i="1">
              <a:solidFill>
                <a:schemeClr val="tx1">
                  <a:lumMod val="65000"/>
                  <a:lumOff val="35000"/>
                </a:schemeClr>
              </a:solidFill>
            </a:endParaRPr>
          </a:p>
        </xdr:txBody>
      </xdr:sp>
      <xdr:sp macro="" textlink="'IRR Waterfall'!E24">
        <xdr:nvSpPr>
          <xdr:cNvPr id="32" name="TextBox 31">
            <a:extLst>
              <a:ext uri="{FF2B5EF4-FFF2-40B4-BE49-F238E27FC236}">
                <a16:creationId xmlns:a16="http://schemas.microsoft.com/office/drawing/2014/main" id="{00000000-0008-0000-0200-000020000000}"/>
              </a:ext>
            </a:extLst>
          </xdr:cNvPr>
          <xdr:cNvSpPr txBox="1"/>
        </xdr:nvSpPr>
        <xdr:spPr>
          <a:xfrm>
            <a:off x="2259185" y="4330937"/>
            <a:ext cx="861498" cy="38214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pPr algn="l"/>
            <a:fld id="{168C9256-7B18-D14E-955D-1C6EC2AC43F2}" type="TxLink">
              <a:rPr lang="en-US" sz="2000" b="1" i="0" u="none" strike="noStrike">
                <a:solidFill>
                  <a:srgbClr val="FFFFFF"/>
                </a:solidFill>
                <a:latin typeface="Montserrat Regular"/>
              </a:rPr>
              <a:pPr algn="l"/>
              <a:t>53,3%</a:t>
            </a:fld>
            <a:endParaRPr lang="ru-RU" sz="3200" b="1">
              <a:solidFill>
                <a:schemeClr val="bg1"/>
              </a:solidFill>
              <a:latin typeface="+mj-lt"/>
            </a:endParaRPr>
          </a:p>
        </xdr:txBody>
      </xdr:sp>
    </xdr:grpSp>
    <xdr:clientData/>
  </xdr:twoCellAnchor>
  <xdr:twoCellAnchor>
    <xdr:from>
      <xdr:col>7</xdr:col>
      <xdr:colOff>899030</xdr:colOff>
      <xdr:row>0</xdr:row>
      <xdr:rowOff>76200</xdr:rowOff>
    </xdr:from>
    <xdr:to>
      <xdr:col>12</xdr:col>
      <xdr:colOff>645030</xdr:colOff>
      <xdr:row>16</xdr:row>
      <xdr:rowOff>31836</xdr:rowOff>
    </xdr:to>
    <xdr:sp macro="" textlink="">
      <xdr:nvSpPr>
        <xdr:cNvPr id="34" name="Скругленный прямоугольник 26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/>
      </xdr:nvSpPr>
      <xdr:spPr>
        <a:xfrm>
          <a:off x="7329848" y="76200"/>
          <a:ext cx="4537364" cy="3096000"/>
        </a:xfrm>
        <a:prstGeom prst="roundRect">
          <a:avLst>
            <a:gd name="adj" fmla="val 4210"/>
          </a:avLst>
        </a:prstGeom>
        <a:solidFill>
          <a:schemeClr val="bg1"/>
        </a:solidFill>
        <a:ln>
          <a:noFill/>
        </a:ln>
        <a:effectLst>
          <a:outerShdw blurRad="289532" dist="50800" dir="2700000" algn="tl" rotWithShape="0">
            <a:prstClr val="black">
              <a:alpha val="12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8</xdr:col>
      <xdr:colOff>12700</xdr:colOff>
      <xdr:row>3</xdr:row>
      <xdr:rowOff>139700</xdr:rowOff>
    </xdr:from>
    <xdr:to>
      <xdr:col>12</xdr:col>
      <xdr:colOff>618874</xdr:colOff>
      <xdr:row>14</xdr:row>
      <xdr:rowOff>63580</xdr:rowOff>
    </xdr:to>
    <xdr:graphicFrame macro="">
      <xdr:nvGraphicFramePr>
        <xdr:cNvPr id="35" name="Диаграмма 23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736600</xdr:colOff>
      <xdr:row>0</xdr:row>
      <xdr:rowOff>76200</xdr:rowOff>
    </xdr:from>
    <xdr:to>
      <xdr:col>17</xdr:col>
      <xdr:colOff>805237</xdr:colOff>
      <xdr:row>16</xdr:row>
      <xdr:rowOff>31836</xdr:rowOff>
    </xdr:to>
    <xdr:sp macro="" textlink="">
      <xdr:nvSpPr>
        <xdr:cNvPr id="36" name="Скругленный прямоугольник 26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/>
      </xdr:nvSpPr>
      <xdr:spPr>
        <a:xfrm>
          <a:off x="11958782" y="76200"/>
          <a:ext cx="4860000" cy="3096000"/>
        </a:xfrm>
        <a:prstGeom prst="roundRect">
          <a:avLst>
            <a:gd name="adj" fmla="val 4210"/>
          </a:avLst>
        </a:prstGeom>
        <a:solidFill>
          <a:schemeClr val="bg1"/>
        </a:solidFill>
        <a:ln>
          <a:noFill/>
        </a:ln>
        <a:effectLst>
          <a:outerShdw blurRad="289532" dist="50800" dir="2700000" algn="tl" rotWithShape="0">
            <a:prstClr val="black">
              <a:alpha val="12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12</xdr:col>
      <xdr:colOff>850900</xdr:colOff>
      <xdr:row>3</xdr:row>
      <xdr:rowOff>38100</xdr:rowOff>
    </xdr:from>
    <xdr:to>
      <xdr:col>17</xdr:col>
      <xdr:colOff>867649</xdr:colOff>
      <xdr:row>14</xdr:row>
      <xdr:rowOff>107648</xdr:rowOff>
    </xdr:to>
    <xdr:graphicFrame macro="">
      <xdr:nvGraphicFramePr>
        <xdr:cNvPr id="37" name="Диаграмма 23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127000</xdr:colOff>
      <xdr:row>1</xdr:row>
      <xdr:rowOff>88900</xdr:rowOff>
    </xdr:from>
    <xdr:to>
      <xdr:col>10</xdr:col>
      <xdr:colOff>463650</xdr:colOff>
      <xdr:row>2</xdr:row>
      <xdr:rowOff>111831</xdr:rowOff>
    </xdr:to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 txBox="1"/>
      </xdr:nvSpPr>
      <xdr:spPr>
        <a:xfrm>
          <a:off x="9652000" y="279400"/>
          <a:ext cx="2241650" cy="2134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r>
            <a:rPr lang="en-US" sz="1200" b="1">
              <a:solidFill>
                <a:schemeClr val="tx1"/>
              </a:solidFill>
              <a:latin typeface="+mj-lt"/>
            </a:rPr>
            <a:t>REVENUES</a:t>
          </a:r>
          <a:endParaRPr lang="ru-RU" sz="1000" b="1">
            <a:solidFill>
              <a:schemeClr val="tx1"/>
            </a:solidFill>
            <a:latin typeface="+mj-lt"/>
          </a:endParaRPr>
        </a:p>
      </xdr:txBody>
    </xdr:sp>
    <xdr:clientData/>
  </xdr:twoCellAnchor>
  <xdr:twoCellAnchor>
    <xdr:from>
      <xdr:col>13</xdr:col>
      <xdr:colOff>0</xdr:colOff>
      <xdr:row>1</xdr:row>
      <xdr:rowOff>25400</xdr:rowOff>
    </xdr:from>
    <xdr:to>
      <xdr:col>15</xdr:col>
      <xdr:colOff>336650</xdr:colOff>
      <xdr:row>2</xdr:row>
      <xdr:rowOff>48331</xdr:rowOff>
    </xdr:to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 txBox="1"/>
      </xdr:nvSpPr>
      <xdr:spPr>
        <a:xfrm>
          <a:off x="14287500" y="215900"/>
          <a:ext cx="2241650" cy="2134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r>
            <a:rPr lang="en-US" sz="1200" b="1">
              <a:solidFill>
                <a:schemeClr val="tx1"/>
              </a:solidFill>
              <a:latin typeface="+mj-lt"/>
            </a:rPr>
            <a:t>EBITDA</a:t>
          </a:r>
          <a:endParaRPr lang="ru-RU" sz="1000" b="1">
            <a:solidFill>
              <a:schemeClr val="tx1"/>
            </a:solidFill>
            <a:latin typeface="+mj-lt"/>
          </a:endParaRPr>
        </a:p>
      </xdr:txBody>
    </xdr:sp>
    <xdr:clientData/>
  </xdr:twoCellAnchor>
  <xdr:twoCellAnchor>
    <xdr:from>
      <xdr:col>7</xdr:col>
      <xdr:colOff>895350</xdr:colOff>
      <xdr:row>16</xdr:row>
      <xdr:rowOff>101600</xdr:rowOff>
    </xdr:from>
    <xdr:to>
      <xdr:col>12</xdr:col>
      <xdr:colOff>639986</xdr:colOff>
      <xdr:row>32</xdr:row>
      <xdr:rowOff>57237</xdr:rowOff>
    </xdr:to>
    <xdr:sp macro="" textlink="">
      <xdr:nvSpPr>
        <xdr:cNvPr id="42" name="Скругленный прямоугольник 26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/>
      </xdr:nvSpPr>
      <xdr:spPr>
        <a:xfrm>
          <a:off x="7326168" y="3241964"/>
          <a:ext cx="4536000" cy="3096000"/>
        </a:xfrm>
        <a:prstGeom prst="roundRect">
          <a:avLst>
            <a:gd name="adj" fmla="val 4210"/>
          </a:avLst>
        </a:prstGeom>
        <a:solidFill>
          <a:schemeClr val="bg1"/>
        </a:solidFill>
        <a:ln>
          <a:noFill/>
        </a:ln>
        <a:effectLst>
          <a:outerShdw blurRad="289532" dist="50800" dir="2700000" algn="tl" rotWithShape="0">
            <a:prstClr val="black">
              <a:alpha val="12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8</xdr:col>
      <xdr:colOff>177800</xdr:colOff>
      <xdr:row>17</xdr:row>
      <xdr:rowOff>25400</xdr:rowOff>
    </xdr:from>
    <xdr:to>
      <xdr:col>12</xdr:col>
      <xdr:colOff>190500</xdr:colOff>
      <xdr:row>18</xdr:row>
      <xdr:rowOff>73731</xdr:rowOff>
    </xdr:to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 txBox="1"/>
      </xdr:nvSpPr>
      <xdr:spPr>
        <a:xfrm>
          <a:off x="7531100" y="3263900"/>
          <a:ext cx="3822700" cy="2388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r>
            <a:rPr lang="en-US" sz="1200" b="1">
              <a:solidFill>
                <a:schemeClr val="tx1"/>
              </a:solidFill>
              <a:latin typeface="+mj-lt"/>
            </a:rPr>
            <a:t>CASH FLOW AVAILABLE</a:t>
          </a:r>
          <a:r>
            <a:rPr lang="en-US" sz="1200" b="1" baseline="0">
              <a:solidFill>
                <a:schemeClr val="tx1"/>
              </a:solidFill>
              <a:latin typeface="+mj-lt"/>
            </a:rPr>
            <a:t> FOR DEBT SERVICES</a:t>
          </a:r>
          <a:endParaRPr lang="ru-RU" sz="1000" b="1">
            <a:solidFill>
              <a:schemeClr val="tx1"/>
            </a:solidFill>
            <a:latin typeface="+mj-lt"/>
          </a:endParaRPr>
        </a:p>
      </xdr:txBody>
    </xdr:sp>
    <xdr:clientData/>
  </xdr:twoCellAnchor>
  <xdr:twoCellAnchor>
    <xdr:from>
      <xdr:col>3</xdr:col>
      <xdr:colOff>241300</xdr:colOff>
      <xdr:row>16</xdr:row>
      <xdr:rowOff>101600</xdr:rowOff>
    </xdr:from>
    <xdr:to>
      <xdr:col>7</xdr:col>
      <xdr:colOff>800100</xdr:colOff>
      <xdr:row>32</xdr:row>
      <xdr:rowOff>57237</xdr:rowOff>
    </xdr:to>
    <xdr:sp macro="" textlink="">
      <xdr:nvSpPr>
        <xdr:cNvPr id="33" name="Скругленный прямоугольник 26">
          <a:extLst>
            <a:ext uri="{FF2B5EF4-FFF2-40B4-BE49-F238E27FC236}">
              <a16:creationId xmlns:a16="http://schemas.microsoft.com/office/drawing/2014/main" id="{145ACB0E-309B-3A44-96F2-823036CD9043}"/>
            </a:ext>
          </a:extLst>
        </xdr:cNvPr>
        <xdr:cNvSpPr/>
      </xdr:nvSpPr>
      <xdr:spPr>
        <a:xfrm>
          <a:off x="2839027" y="3241964"/>
          <a:ext cx="4391891" cy="3096000"/>
        </a:xfrm>
        <a:prstGeom prst="roundRect">
          <a:avLst>
            <a:gd name="adj" fmla="val 4210"/>
          </a:avLst>
        </a:prstGeom>
        <a:solidFill>
          <a:schemeClr val="bg1"/>
        </a:solidFill>
        <a:ln>
          <a:noFill/>
        </a:ln>
        <a:effectLst>
          <a:outerShdw blurRad="289532" dist="50800" dir="2700000" algn="tl" rotWithShape="0">
            <a:prstClr val="black">
              <a:alpha val="12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3</xdr:col>
      <xdr:colOff>393700</xdr:colOff>
      <xdr:row>17</xdr:row>
      <xdr:rowOff>38100</xdr:rowOff>
    </xdr:from>
    <xdr:to>
      <xdr:col>4</xdr:col>
      <xdr:colOff>939800</xdr:colOff>
      <xdr:row>18</xdr:row>
      <xdr:rowOff>99131</xdr:rowOff>
    </xdr:to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D1C257FF-6C55-E448-AF80-A88B893A0A99}"/>
            </a:ext>
          </a:extLst>
        </xdr:cNvPr>
        <xdr:cNvSpPr txBox="1"/>
      </xdr:nvSpPr>
      <xdr:spPr>
        <a:xfrm>
          <a:off x="2984500" y="3276600"/>
          <a:ext cx="1498600" cy="2515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r>
            <a:rPr lang="en-US" sz="1200" b="1">
              <a:solidFill>
                <a:schemeClr val="tx1"/>
              </a:solidFill>
              <a:latin typeface="+mj-lt"/>
            </a:rPr>
            <a:t>Debt / EBITDA</a:t>
          </a:r>
          <a:endParaRPr lang="ru-RU" sz="1000" b="1">
            <a:solidFill>
              <a:schemeClr val="tx1"/>
            </a:solidFill>
            <a:latin typeface="+mj-lt"/>
          </a:endParaRPr>
        </a:p>
      </xdr:txBody>
    </xdr:sp>
    <xdr:clientData/>
  </xdr:twoCellAnchor>
  <xdr:twoCellAnchor>
    <xdr:from>
      <xdr:col>12</xdr:col>
      <xdr:colOff>749300</xdr:colOff>
      <xdr:row>16</xdr:row>
      <xdr:rowOff>101600</xdr:rowOff>
    </xdr:from>
    <xdr:to>
      <xdr:col>17</xdr:col>
      <xdr:colOff>817937</xdr:colOff>
      <xdr:row>32</xdr:row>
      <xdr:rowOff>57237</xdr:rowOff>
    </xdr:to>
    <xdr:sp macro="" textlink="">
      <xdr:nvSpPr>
        <xdr:cNvPr id="39" name="Скругленный прямоугольник 26">
          <a:extLst>
            <a:ext uri="{FF2B5EF4-FFF2-40B4-BE49-F238E27FC236}">
              <a16:creationId xmlns:a16="http://schemas.microsoft.com/office/drawing/2014/main" id="{B70EA20D-97B9-2040-83A8-76E9FC53DCF4}"/>
            </a:ext>
          </a:extLst>
        </xdr:cNvPr>
        <xdr:cNvSpPr/>
      </xdr:nvSpPr>
      <xdr:spPr>
        <a:xfrm>
          <a:off x="11971482" y="3241964"/>
          <a:ext cx="4860000" cy="3096000"/>
        </a:xfrm>
        <a:prstGeom prst="roundRect">
          <a:avLst>
            <a:gd name="adj" fmla="val 4210"/>
          </a:avLst>
        </a:prstGeom>
        <a:solidFill>
          <a:schemeClr val="bg1"/>
        </a:solidFill>
        <a:ln>
          <a:noFill/>
        </a:ln>
        <a:effectLst>
          <a:outerShdw blurRad="289532" dist="50800" dir="2700000" algn="tl" rotWithShape="0">
            <a:prstClr val="black">
              <a:alpha val="12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13</xdr:col>
      <xdr:colOff>25400</xdr:colOff>
      <xdr:row>17</xdr:row>
      <xdr:rowOff>25400</xdr:rowOff>
    </xdr:from>
    <xdr:to>
      <xdr:col>17</xdr:col>
      <xdr:colOff>38100</xdr:colOff>
      <xdr:row>18</xdr:row>
      <xdr:rowOff>73731</xdr:rowOff>
    </xdr:to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EF2BE449-DA0F-524E-BA8A-48F82353F3BC}"/>
            </a:ext>
          </a:extLst>
        </xdr:cNvPr>
        <xdr:cNvSpPr txBox="1"/>
      </xdr:nvSpPr>
      <xdr:spPr>
        <a:xfrm>
          <a:off x="12141200" y="3263900"/>
          <a:ext cx="3822700" cy="2388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r>
            <a:rPr lang="en-US" sz="1200" b="1">
              <a:solidFill>
                <a:schemeClr val="tx1"/>
              </a:solidFill>
              <a:latin typeface="+mj-lt"/>
            </a:rPr>
            <a:t>DEBT</a:t>
          </a:r>
          <a:r>
            <a:rPr lang="en-US" sz="1200" b="1" baseline="0">
              <a:solidFill>
                <a:schemeClr val="tx1"/>
              </a:solidFill>
              <a:latin typeface="+mj-lt"/>
            </a:rPr>
            <a:t> PAYMENTS</a:t>
          </a:r>
          <a:endParaRPr lang="ru-RU" sz="1000" b="1">
            <a:solidFill>
              <a:schemeClr val="tx1"/>
            </a:solidFill>
            <a:latin typeface="+mj-lt"/>
          </a:endParaRPr>
        </a:p>
      </xdr:txBody>
    </xdr:sp>
    <xdr:clientData/>
  </xdr:twoCellAnchor>
  <xdr:twoCellAnchor>
    <xdr:from>
      <xdr:col>0</xdr:col>
      <xdr:colOff>213591</xdr:colOff>
      <xdr:row>16</xdr:row>
      <xdr:rowOff>85436</xdr:rowOff>
    </xdr:from>
    <xdr:to>
      <xdr:col>2</xdr:col>
      <xdr:colOff>865905</xdr:colOff>
      <xdr:row>23</xdr:row>
      <xdr:rowOff>7339</xdr:rowOff>
    </xdr:to>
    <xdr:grpSp>
      <xdr:nvGrpSpPr>
        <xdr:cNvPr id="46" name="Group 45">
          <a:extLst>
            <a:ext uri="{FF2B5EF4-FFF2-40B4-BE49-F238E27FC236}">
              <a16:creationId xmlns:a16="http://schemas.microsoft.com/office/drawing/2014/main" id="{C0A2E17B-EAD5-5F47-822B-89D8BC18264F}"/>
            </a:ext>
          </a:extLst>
        </xdr:cNvPr>
        <xdr:cNvGrpSpPr/>
      </xdr:nvGrpSpPr>
      <xdr:grpSpPr>
        <a:xfrm>
          <a:off x="213591" y="3225800"/>
          <a:ext cx="2384132" cy="1295812"/>
          <a:chOff x="1026649" y="4013009"/>
          <a:chExt cx="2256705" cy="1355524"/>
        </a:xfrm>
      </xdr:grpSpPr>
      <xdr:sp macro="" textlink="">
        <xdr:nvSpPr>
          <xdr:cNvPr id="47" name="Freeform 46">
            <a:extLst>
              <a:ext uri="{FF2B5EF4-FFF2-40B4-BE49-F238E27FC236}">
                <a16:creationId xmlns:a16="http://schemas.microsoft.com/office/drawing/2014/main" id="{41B6C3FD-DF90-768F-2C1E-1411F2345FE3}"/>
              </a:ext>
            </a:extLst>
          </xdr:cNvPr>
          <xdr:cNvSpPr/>
        </xdr:nvSpPr>
        <xdr:spPr>
          <a:xfrm rot="855225">
            <a:off x="1026649" y="4805497"/>
            <a:ext cx="2074135" cy="563036"/>
          </a:xfrm>
          <a:custGeom>
            <a:avLst/>
            <a:gdLst>
              <a:gd name="connsiteX0" fmla="*/ 16057 w 2093552"/>
              <a:gd name="connsiteY0" fmla="*/ 6684 h 639262"/>
              <a:gd name="connsiteX1" fmla="*/ 49165 w 2093552"/>
              <a:gd name="connsiteY1" fmla="*/ 0 h 639262"/>
              <a:gd name="connsiteX2" fmla="*/ 2008495 w 2093552"/>
              <a:gd name="connsiteY2" fmla="*/ 0 h 639262"/>
              <a:gd name="connsiteX3" fmla="*/ 2093552 w 2093552"/>
              <a:gd name="connsiteY3" fmla="*/ 85056 h 639262"/>
              <a:gd name="connsiteX4" fmla="*/ 2093552 w 2093552"/>
              <a:gd name="connsiteY4" fmla="*/ 149626 h 639262"/>
              <a:gd name="connsiteX5" fmla="*/ 2081417 w 2093552"/>
              <a:gd name="connsiteY5" fmla="*/ 163218 h 639262"/>
              <a:gd name="connsiteX6" fmla="*/ 2050974 w 2093552"/>
              <a:gd name="connsiteY6" fmla="*/ 177848 h 639262"/>
              <a:gd name="connsiteX7" fmla="*/ 245036 w 2093552"/>
              <a:gd name="connsiteY7" fmla="*/ 636624 h 639262"/>
              <a:gd name="connsiteX8" fmla="*/ 141656 w 2093552"/>
              <a:gd name="connsiteY8" fmla="*/ 575128 h 639262"/>
              <a:gd name="connsiteX9" fmla="*/ 0 w 2093552"/>
              <a:gd name="connsiteY9" fmla="*/ 17510 h 639262"/>
              <a:gd name="connsiteX10" fmla="*/ 16057 w 2093552"/>
              <a:gd name="connsiteY10" fmla="*/ 6684 h 63926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</a:cxnLst>
            <a:rect l="l" t="t" r="r" b="b"/>
            <a:pathLst>
              <a:path w="2093552" h="639262">
                <a:moveTo>
                  <a:pt x="16057" y="6684"/>
                </a:moveTo>
                <a:cubicBezTo>
                  <a:pt x="26233" y="2380"/>
                  <a:pt x="37421" y="0"/>
                  <a:pt x="49165" y="0"/>
                </a:cubicBezTo>
                <a:lnTo>
                  <a:pt x="2008495" y="0"/>
                </a:lnTo>
                <a:cubicBezTo>
                  <a:pt x="2055470" y="0"/>
                  <a:pt x="2093552" y="38081"/>
                  <a:pt x="2093552" y="85056"/>
                </a:cubicBezTo>
                <a:lnTo>
                  <a:pt x="2093552" y="149626"/>
                </a:lnTo>
                <a:lnTo>
                  <a:pt x="2081417" y="163218"/>
                </a:lnTo>
                <a:cubicBezTo>
                  <a:pt x="2072613" y="169895"/>
                  <a:pt x="2062356" y="174957"/>
                  <a:pt x="2050974" y="177848"/>
                </a:cubicBezTo>
                <a:lnTo>
                  <a:pt x="245036" y="636624"/>
                </a:lnTo>
                <a:cubicBezTo>
                  <a:pt x="199507" y="648190"/>
                  <a:pt x="153222" y="620657"/>
                  <a:pt x="141656" y="575128"/>
                </a:cubicBezTo>
                <a:lnTo>
                  <a:pt x="0" y="17510"/>
                </a:lnTo>
                <a:lnTo>
                  <a:pt x="16057" y="6684"/>
                </a:lnTo>
                <a:close/>
              </a:path>
            </a:pathLst>
          </a:custGeom>
          <a:gradFill>
            <a:gsLst>
              <a:gs pos="0">
                <a:schemeClr val="accent5">
                  <a:lumMod val="90000"/>
                </a:schemeClr>
              </a:gs>
              <a:gs pos="74000">
                <a:schemeClr val="accent1">
                  <a:lumMod val="45000"/>
                  <a:lumOff val="55000"/>
                </a:schemeClr>
              </a:gs>
              <a:gs pos="83000">
                <a:schemeClr val="tx2">
                  <a:lumMod val="40000"/>
                  <a:lumOff val="60000"/>
                </a:schemeClr>
              </a:gs>
              <a:gs pos="100000">
                <a:schemeClr val="accent1">
                  <a:lumMod val="30000"/>
                  <a:lumOff val="70000"/>
                </a:schemeClr>
              </a:gs>
            </a:gsLst>
            <a:lin ang="5400000" scaled="1"/>
          </a:gradFill>
          <a:ln>
            <a:noFill/>
          </a:ln>
          <a:effectLst>
            <a:outerShdw blurRad="289532" dist="50800" dir="2700000" algn="tl" rotWithShape="0">
              <a:prstClr val="black">
                <a:alpha val="12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t">
            <a:no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ru-RU" sz="1100"/>
          </a:p>
        </xdr:txBody>
      </xdr:sp>
      <xdr:sp macro="" textlink="">
        <xdr:nvSpPr>
          <xdr:cNvPr id="48" name="Freeform 47">
            <a:extLst>
              <a:ext uri="{FF2B5EF4-FFF2-40B4-BE49-F238E27FC236}">
                <a16:creationId xmlns:a16="http://schemas.microsoft.com/office/drawing/2014/main" id="{68DC8940-6115-0505-FADB-00BFF6BB8532}"/>
              </a:ext>
            </a:extLst>
          </xdr:cNvPr>
          <xdr:cNvSpPr/>
        </xdr:nvSpPr>
        <xdr:spPr>
          <a:xfrm rot="855225">
            <a:off x="1116351" y="4013009"/>
            <a:ext cx="2167003" cy="951604"/>
          </a:xfrm>
          <a:custGeom>
            <a:avLst/>
            <a:gdLst>
              <a:gd name="connsiteX0" fmla="*/ 64134 w 2187835"/>
              <a:gd name="connsiteY0" fmla="*/ 461414 h 972814"/>
              <a:gd name="connsiteX1" fmla="*/ 1870072 w 2187835"/>
              <a:gd name="connsiteY1" fmla="*/ 2638 h 972814"/>
              <a:gd name="connsiteX2" fmla="*/ 1973451 w 2187835"/>
              <a:gd name="connsiteY2" fmla="*/ 64134 h 972814"/>
              <a:gd name="connsiteX3" fmla="*/ 2185197 w 2187835"/>
              <a:gd name="connsiteY3" fmla="*/ 897656 h 972814"/>
              <a:gd name="connsiteX4" fmla="*/ 2175861 w 2187835"/>
              <a:gd name="connsiteY4" fmla="*/ 962083 h 972814"/>
              <a:gd name="connsiteX5" fmla="*/ 2166280 w 2187835"/>
              <a:gd name="connsiteY5" fmla="*/ 972814 h 972814"/>
              <a:gd name="connsiteX6" fmla="*/ 2166280 w 2187835"/>
              <a:gd name="connsiteY6" fmla="*/ 908244 h 972814"/>
              <a:gd name="connsiteX7" fmla="*/ 2081223 w 2187835"/>
              <a:gd name="connsiteY7" fmla="*/ 823188 h 972814"/>
              <a:gd name="connsiteX8" fmla="*/ 121893 w 2187835"/>
              <a:gd name="connsiteY8" fmla="*/ 823188 h 972814"/>
              <a:gd name="connsiteX9" fmla="*/ 88785 w 2187835"/>
              <a:gd name="connsiteY9" fmla="*/ 829872 h 972814"/>
              <a:gd name="connsiteX10" fmla="*/ 72728 w 2187835"/>
              <a:gd name="connsiteY10" fmla="*/ 840698 h 972814"/>
              <a:gd name="connsiteX11" fmla="*/ 2638 w 2187835"/>
              <a:gd name="connsiteY11" fmla="*/ 564794 h 972814"/>
              <a:gd name="connsiteX12" fmla="*/ 64134 w 2187835"/>
              <a:gd name="connsiteY12" fmla="*/ 461414 h 97281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</a:cxnLst>
            <a:rect l="l" t="t" r="r" b="b"/>
            <a:pathLst>
              <a:path w="2187835" h="972814">
                <a:moveTo>
                  <a:pt x="64134" y="461414"/>
                </a:moveTo>
                <a:lnTo>
                  <a:pt x="1870072" y="2638"/>
                </a:lnTo>
                <a:cubicBezTo>
                  <a:pt x="1915600" y="-8928"/>
                  <a:pt x="1961885" y="18605"/>
                  <a:pt x="1973451" y="64134"/>
                </a:cubicBezTo>
                <a:lnTo>
                  <a:pt x="2185197" y="897656"/>
                </a:lnTo>
                <a:cubicBezTo>
                  <a:pt x="2190980" y="920421"/>
                  <a:pt x="2186989" y="943374"/>
                  <a:pt x="2175861" y="962083"/>
                </a:cubicBezTo>
                <a:lnTo>
                  <a:pt x="2166280" y="972814"/>
                </a:lnTo>
                <a:lnTo>
                  <a:pt x="2166280" y="908244"/>
                </a:lnTo>
                <a:cubicBezTo>
                  <a:pt x="2166280" y="861269"/>
                  <a:pt x="2128198" y="823188"/>
                  <a:pt x="2081223" y="823188"/>
                </a:cubicBezTo>
                <a:lnTo>
                  <a:pt x="121893" y="823188"/>
                </a:lnTo>
                <a:cubicBezTo>
                  <a:pt x="110149" y="823188"/>
                  <a:pt x="98961" y="825568"/>
                  <a:pt x="88785" y="829872"/>
                </a:cubicBezTo>
                <a:lnTo>
                  <a:pt x="72728" y="840698"/>
                </a:lnTo>
                <a:lnTo>
                  <a:pt x="2638" y="564794"/>
                </a:lnTo>
                <a:cubicBezTo>
                  <a:pt x="-8928" y="519265"/>
                  <a:pt x="18605" y="472980"/>
                  <a:pt x="64134" y="461414"/>
                </a:cubicBezTo>
                <a:close/>
              </a:path>
            </a:pathLst>
          </a:custGeom>
          <a:solidFill>
            <a:schemeClr val="bg1">
              <a:lumMod val="50000"/>
            </a:schemeClr>
          </a:solidFill>
          <a:ln>
            <a:noFill/>
          </a:ln>
          <a:effectLst>
            <a:outerShdw blurRad="289532" dist="50800" dir="2700000" algn="tl" rotWithShape="0">
              <a:prstClr val="black">
                <a:alpha val="12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t">
            <a:no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ru-RU" sz="1100"/>
          </a:p>
        </xdr:txBody>
      </xdr:sp>
      <xdr:sp macro="" textlink="">
        <xdr:nvSpPr>
          <xdr:cNvPr id="49" name="TextBox 48">
            <a:extLst>
              <a:ext uri="{FF2B5EF4-FFF2-40B4-BE49-F238E27FC236}">
                <a16:creationId xmlns:a16="http://schemas.microsoft.com/office/drawing/2014/main" id="{42DDEE48-AE7C-B528-16DF-4EDD1FB663E3}"/>
              </a:ext>
            </a:extLst>
          </xdr:cNvPr>
          <xdr:cNvSpPr txBox="1"/>
        </xdr:nvSpPr>
        <xdr:spPr>
          <a:xfrm>
            <a:off x="1226315" y="4646230"/>
            <a:ext cx="1639249" cy="57319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ctr"/>
          <a:lstStyle/>
          <a:p>
            <a:pPr algn="l"/>
            <a:r>
              <a:rPr lang="en-US" sz="1400" b="1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</a:rPr>
              <a:t>Stake</a:t>
            </a:r>
            <a:endParaRPr lang="ru-RU" sz="900" b="0" i="1">
              <a:solidFill>
                <a:schemeClr val="tx1">
                  <a:lumMod val="65000"/>
                  <a:lumOff val="35000"/>
                </a:schemeClr>
              </a:solidFill>
            </a:endParaRPr>
          </a:p>
        </xdr:txBody>
      </xdr:sp>
      <xdr:sp macro="" textlink="Transaction!D10">
        <xdr:nvSpPr>
          <xdr:cNvPr id="50" name="TextBox 49">
            <a:extLst>
              <a:ext uri="{FF2B5EF4-FFF2-40B4-BE49-F238E27FC236}">
                <a16:creationId xmlns:a16="http://schemas.microsoft.com/office/drawing/2014/main" id="{1532540D-66C3-1407-1B5A-50416ECF6266}"/>
              </a:ext>
            </a:extLst>
          </xdr:cNvPr>
          <xdr:cNvSpPr txBox="1"/>
        </xdr:nvSpPr>
        <xdr:spPr>
          <a:xfrm>
            <a:off x="2259185" y="4330937"/>
            <a:ext cx="861498" cy="38214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pPr algn="l"/>
            <a:fld id="{705062E0-3C66-6545-BD1F-2C5B4801AB41}" type="TxLink">
              <a:rPr lang="en-US" sz="2000" b="1" i="0" u="none" strike="noStrike">
                <a:solidFill>
                  <a:schemeClr val="bg1"/>
                </a:solidFill>
                <a:latin typeface="Montserrat Regular"/>
              </a:rPr>
              <a:pPr algn="l"/>
              <a:t>100,0%</a:t>
            </a:fld>
            <a:endParaRPr lang="ru-RU" sz="8000" b="1">
              <a:solidFill>
                <a:schemeClr val="bg1"/>
              </a:solidFill>
              <a:latin typeface="+mj-lt"/>
            </a:endParaRPr>
          </a:p>
        </xdr:txBody>
      </xdr:sp>
    </xdr:grpSp>
    <xdr:clientData/>
  </xdr:twoCellAnchor>
  <xdr:twoCellAnchor>
    <xdr:from>
      <xdr:col>0</xdr:col>
      <xdr:colOff>342900</xdr:colOff>
      <xdr:row>24</xdr:row>
      <xdr:rowOff>142009</xdr:rowOff>
    </xdr:from>
    <xdr:to>
      <xdr:col>2</xdr:col>
      <xdr:colOff>752268</xdr:colOff>
      <xdr:row>29</xdr:row>
      <xdr:rowOff>127805</xdr:rowOff>
    </xdr:to>
    <xdr:grpSp>
      <xdr:nvGrpSpPr>
        <xdr:cNvPr id="51" name="Group 50">
          <a:extLst>
            <a:ext uri="{FF2B5EF4-FFF2-40B4-BE49-F238E27FC236}">
              <a16:creationId xmlns:a16="http://schemas.microsoft.com/office/drawing/2014/main" id="{702407E6-45B1-2B4D-AAFA-00982C47BE6E}"/>
            </a:ext>
          </a:extLst>
        </xdr:cNvPr>
        <xdr:cNvGrpSpPr/>
      </xdr:nvGrpSpPr>
      <xdr:grpSpPr>
        <a:xfrm>
          <a:off x="342900" y="4852554"/>
          <a:ext cx="2141186" cy="967160"/>
          <a:chOff x="5332422" y="4306851"/>
          <a:chExt cx="2019533" cy="1005707"/>
        </a:xfrm>
      </xdr:grpSpPr>
      <xdr:grpSp>
        <xdr:nvGrpSpPr>
          <xdr:cNvPr id="52" name="Group 51">
            <a:extLst>
              <a:ext uri="{FF2B5EF4-FFF2-40B4-BE49-F238E27FC236}">
                <a16:creationId xmlns:a16="http://schemas.microsoft.com/office/drawing/2014/main" id="{CD19B8BB-DB3F-CCD0-B8A9-831D31CCEB7C}"/>
              </a:ext>
            </a:extLst>
          </xdr:cNvPr>
          <xdr:cNvGrpSpPr/>
        </xdr:nvGrpSpPr>
        <xdr:grpSpPr>
          <a:xfrm>
            <a:off x="5332422" y="4306851"/>
            <a:ext cx="2019533" cy="1005707"/>
            <a:chOff x="3207730" y="4246662"/>
            <a:chExt cx="2019533" cy="1005707"/>
          </a:xfrm>
        </xdr:grpSpPr>
        <xdr:grpSp>
          <xdr:nvGrpSpPr>
            <xdr:cNvPr id="55" name="Group 54">
              <a:extLst>
                <a:ext uri="{FF2B5EF4-FFF2-40B4-BE49-F238E27FC236}">
                  <a16:creationId xmlns:a16="http://schemas.microsoft.com/office/drawing/2014/main" id="{F6E3C2ED-9AFF-3914-49A0-52AF27CAB9F2}"/>
                </a:ext>
              </a:extLst>
            </xdr:cNvPr>
            <xdr:cNvGrpSpPr/>
          </xdr:nvGrpSpPr>
          <xdr:grpSpPr>
            <a:xfrm>
              <a:off x="3207730" y="4246662"/>
              <a:ext cx="2019533" cy="1005707"/>
              <a:chOff x="3206745" y="4188441"/>
              <a:chExt cx="2020124" cy="990519"/>
            </a:xfrm>
          </xdr:grpSpPr>
          <xdr:sp macro="" textlink="">
            <xdr:nvSpPr>
              <xdr:cNvPr id="59" name="Скругленный прямоугольник 26">
                <a:extLst>
                  <a:ext uri="{FF2B5EF4-FFF2-40B4-BE49-F238E27FC236}">
                    <a16:creationId xmlns:a16="http://schemas.microsoft.com/office/drawing/2014/main" id="{C1A66217-7322-8985-9780-5D1D9D51EDBF}"/>
                  </a:ext>
                </a:extLst>
              </xdr:cNvPr>
              <xdr:cNvSpPr/>
            </xdr:nvSpPr>
            <xdr:spPr>
              <a:xfrm>
                <a:off x="3206745" y="4197000"/>
                <a:ext cx="2020124" cy="981960"/>
              </a:xfrm>
              <a:prstGeom prst="roundRect">
                <a:avLst>
                  <a:gd name="adj" fmla="val 8257"/>
                </a:avLst>
              </a:prstGeom>
              <a:solidFill>
                <a:schemeClr val="accent5">
                  <a:lumMod val="7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ru-RU" sz="1100"/>
              </a:p>
            </xdr:txBody>
          </xdr:sp>
          <xdr:sp macro="" textlink="">
            <xdr:nvSpPr>
              <xdr:cNvPr id="60" name="Parallelogram 59">
                <a:extLst>
                  <a:ext uri="{FF2B5EF4-FFF2-40B4-BE49-F238E27FC236}">
                    <a16:creationId xmlns:a16="http://schemas.microsoft.com/office/drawing/2014/main" id="{4648A570-F7EF-00E6-547C-86D3BE1EADE8}"/>
                  </a:ext>
                </a:extLst>
              </xdr:cNvPr>
              <xdr:cNvSpPr/>
            </xdr:nvSpPr>
            <xdr:spPr>
              <a:xfrm>
                <a:off x="4688500" y="4188441"/>
                <a:ext cx="445954" cy="363415"/>
              </a:xfrm>
              <a:prstGeom prst="parallelogram">
                <a:avLst>
                  <a:gd name="adj" fmla="val 71250"/>
                </a:avLst>
              </a:prstGeom>
              <a:solidFill>
                <a:schemeClr val="bg1">
                  <a:lumMod val="6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61" name="Parallelogram 60">
                <a:extLst>
                  <a:ext uri="{FF2B5EF4-FFF2-40B4-BE49-F238E27FC236}">
                    <a16:creationId xmlns:a16="http://schemas.microsoft.com/office/drawing/2014/main" id="{A81F8D23-D4FC-6183-F3B3-AB6577F1B04A}"/>
                  </a:ext>
                </a:extLst>
              </xdr:cNvPr>
              <xdr:cNvSpPr/>
            </xdr:nvSpPr>
            <xdr:spPr>
              <a:xfrm>
                <a:off x="4497455" y="4188441"/>
                <a:ext cx="446814" cy="363415"/>
              </a:xfrm>
              <a:prstGeom prst="parallelogram">
                <a:avLst>
                  <a:gd name="adj" fmla="val 71250"/>
                </a:avLst>
              </a:prstGeom>
              <a:solidFill>
                <a:schemeClr val="tx1">
                  <a:lumMod val="95000"/>
                  <a:lumOff val="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62" name="Parallelogram 61">
                <a:extLst>
                  <a:ext uri="{FF2B5EF4-FFF2-40B4-BE49-F238E27FC236}">
                    <a16:creationId xmlns:a16="http://schemas.microsoft.com/office/drawing/2014/main" id="{ABF31E4F-A89C-88A8-C90E-0F6FD723CA16}"/>
                  </a:ext>
                </a:extLst>
              </xdr:cNvPr>
              <xdr:cNvSpPr/>
            </xdr:nvSpPr>
            <xdr:spPr>
              <a:xfrm>
                <a:off x="4305818" y="4188441"/>
                <a:ext cx="446814" cy="363415"/>
              </a:xfrm>
              <a:prstGeom prst="parallelogram">
                <a:avLst>
                  <a:gd name="adj" fmla="val 71250"/>
                </a:avLst>
              </a:prstGeom>
              <a:solidFill>
                <a:schemeClr val="tx1">
                  <a:lumMod val="85000"/>
                  <a:lumOff val="1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63" name="Parallelogram 62">
                <a:extLst>
                  <a:ext uri="{FF2B5EF4-FFF2-40B4-BE49-F238E27FC236}">
                    <a16:creationId xmlns:a16="http://schemas.microsoft.com/office/drawing/2014/main" id="{B3F0014C-0DF9-5AEA-E48E-E59543B2E5AE}"/>
                  </a:ext>
                </a:extLst>
              </xdr:cNvPr>
              <xdr:cNvSpPr/>
            </xdr:nvSpPr>
            <xdr:spPr>
              <a:xfrm>
                <a:off x="4114181" y="4188441"/>
                <a:ext cx="447408" cy="363415"/>
              </a:xfrm>
              <a:prstGeom prst="parallelogram">
                <a:avLst>
                  <a:gd name="adj" fmla="val 71250"/>
                </a:avLst>
              </a:prstGeom>
              <a:solidFill>
                <a:schemeClr val="bg1">
                  <a:lumMod val="6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64" name="Parallelogram 63">
                <a:extLst>
                  <a:ext uri="{FF2B5EF4-FFF2-40B4-BE49-F238E27FC236}">
                    <a16:creationId xmlns:a16="http://schemas.microsoft.com/office/drawing/2014/main" id="{C8707122-B188-91B0-CCBB-BBCEA7152054}"/>
                  </a:ext>
                </a:extLst>
              </xdr:cNvPr>
              <xdr:cNvSpPr/>
            </xdr:nvSpPr>
            <xdr:spPr>
              <a:xfrm>
                <a:off x="3922544" y="4188441"/>
                <a:ext cx="447408" cy="363415"/>
              </a:xfrm>
              <a:prstGeom prst="parallelogram">
                <a:avLst>
                  <a:gd name="adj" fmla="val 71250"/>
                </a:avLst>
              </a:prstGeom>
              <a:solidFill>
                <a:schemeClr val="tx2">
                  <a:lumMod val="75000"/>
                  <a:lumOff val="2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65" name="Triangle 64">
                <a:extLst>
                  <a:ext uri="{FF2B5EF4-FFF2-40B4-BE49-F238E27FC236}">
                    <a16:creationId xmlns:a16="http://schemas.microsoft.com/office/drawing/2014/main" id="{29A1E028-C7DE-4999-0BEC-7C79BD99CBA4}"/>
                  </a:ext>
                </a:extLst>
              </xdr:cNvPr>
              <xdr:cNvSpPr/>
            </xdr:nvSpPr>
            <xdr:spPr>
              <a:xfrm flipH="1" flipV="1">
                <a:off x="4685457" y="4552817"/>
                <a:ext cx="185005" cy="184203"/>
              </a:xfrm>
              <a:prstGeom prst="triangle">
                <a:avLst/>
              </a:prstGeom>
              <a:solidFill>
                <a:schemeClr val="bg1">
                  <a:lumMod val="6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66" name="Triangle 65">
                <a:extLst>
                  <a:ext uri="{FF2B5EF4-FFF2-40B4-BE49-F238E27FC236}">
                    <a16:creationId xmlns:a16="http://schemas.microsoft.com/office/drawing/2014/main" id="{16F3B25D-9F8F-35DC-67C4-B0D57FBEF9C7}"/>
                  </a:ext>
                </a:extLst>
              </xdr:cNvPr>
              <xdr:cNvSpPr/>
            </xdr:nvSpPr>
            <xdr:spPr>
              <a:xfrm flipH="1" flipV="1">
                <a:off x="4499250" y="4552817"/>
                <a:ext cx="184021" cy="184203"/>
              </a:xfrm>
              <a:prstGeom prst="triangle">
                <a:avLst/>
              </a:prstGeom>
              <a:solidFill>
                <a:schemeClr val="tx1">
                  <a:lumMod val="95000"/>
                  <a:lumOff val="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67" name="Triangle 66">
                <a:extLst>
                  <a:ext uri="{FF2B5EF4-FFF2-40B4-BE49-F238E27FC236}">
                    <a16:creationId xmlns:a16="http://schemas.microsoft.com/office/drawing/2014/main" id="{36A8D78E-E5EC-78A8-94B2-134A20FE4949}"/>
                  </a:ext>
                </a:extLst>
              </xdr:cNvPr>
              <xdr:cNvSpPr/>
            </xdr:nvSpPr>
            <xdr:spPr>
              <a:xfrm>
                <a:off x="4405527" y="4548724"/>
                <a:ext cx="185005" cy="184203"/>
              </a:xfrm>
              <a:prstGeom prst="triangle">
                <a:avLst/>
              </a:prstGeom>
              <a:gradFill>
                <a:gsLst>
                  <a:gs pos="100000">
                    <a:schemeClr val="tx1">
                      <a:lumMod val="65000"/>
                      <a:lumOff val="35000"/>
                    </a:schemeClr>
                  </a:gs>
                  <a:gs pos="100000">
                    <a:schemeClr val="accent1">
                      <a:lumMod val="45000"/>
                      <a:lumOff val="55000"/>
                    </a:schemeClr>
                  </a:gs>
                  <a:gs pos="11000">
                    <a:schemeClr val="accent1">
                      <a:lumMod val="45000"/>
                      <a:lumOff val="55000"/>
                    </a:schemeClr>
                  </a:gs>
                  <a:gs pos="100000">
                    <a:srgbClr val="6821E4"/>
                  </a:gs>
                </a:gsLst>
                <a:lin ang="5400000" scaled="1"/>
              </a:gra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68" name="Triangle 67">
                <a:extLst>
                  <a:ext uri="{FF2B5EF4-FFF2-40B4-BE49-F238E27FC236}">
                    <a16:creationId xmlns:a16="http://schemas.microsoft.com/office/drawing/2014/main" id="{667B79F8-8765-0A99-8E55-6EE9D44554F6}"/>
                  </a:ext>
                </a:extLst>
              </xdr:cNvPr>
              <xdr:cNvSpPr/>
            </xdr:nvSpPr>
            <xdr:spPr>
              <a:xfrm flipH="1" flipV="1">
                <a:off x="4312196" y="4552817"/>
                <a:ext cx="185005" cy="184203"/>
              </a:xfrm>
              <a:prstGeom prst="triangle">
                <a:avLst/>
              </a:prstGeom>
              <a:solidFill>
                <a:schemeClr val="tx1">
                  <a:lumMod val="85000"/>
                  <a:lumOff val="1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69" name="Triangle 68">
                <a:extLst>
                  <a:ext uri="{FF2B5EF4-FFF2-40B4-BE49-F238E27FC236}">
                    <a16:creationId xmlns:a16="http://schemas.microsoft.com/office/drawing/2014/main" id="{EEECE72B-9617-2BD5-4C10-59C3C6C3F1F8}"/>
                  </a:ext>
                </a:extLst>
              </xdr:cNvPr>
              <xdr:cNvSpPr/>
            </xdr:nvSpPr>
            <xdr:spPr>
              <a:xfrm>
                <a:off x="4218472" y="4548724"/>
                <a:ext cx="185005" cy="184203"/>
              </a:xfrm>
              <a:prstGeom prst="triangle">
                <a:avLst/>
              </a:prstGeom>
              <a:solidFill>
                <a:schemeClr val="bg1">
                  <a:lumMod val="6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70" name="Triangle 69">
                <a:extLst>
                  <a:ext uri="{FF2B5EF4-FFF2-40B4-BE49-F238E27FC236}">
                    <a16:creationId xmlns:a16="http://schemas.microsoft.com/office/drawing/2014/main" id="{97F5EF5C-05E9-0F67-B5BE-9E56287D84FC}"/>
                  </a:ext>
                </a:extLst>
              </xdr:cNvPr>
              <xdr:cNvSpPr/>
            </xdr:nvSpPr>
            <xdr:spPr>
              <a:xfrm flipH="1" flipV="1">
                <a:off x="4110698" y="4552816"/>
                <a:ext cx="203344" cy="184203"/>
              </a:xfrm>
              <a:prstGeom prst="triangle">
                <a:avLst/>
              </a:prstGeom>
              <a:solidFill>
                <a:schemeClr val="tx1">
                  <a:lumMod val="95000"/>
                  <a:lumOff val="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71" name="Triangle 70">
                <a:extLst>
                  <a:ext uri="{FF2B5EF4-FFF2-40B4-BE49-F238E27FC236}">
                    <a16:creationId xmlns:a16="http://schemas.microsoft.com/office/drawing/2014/main" id="{3EDC75B0-82B9-842A-A322-1E0038F67628}"/>
                  </a:ext>
                </a:extLst>
              </xdr:cNvPr>
              <xdr:cNvSpPr/>
            </xdr:nvSpPr>
            <xdr:spPr>
              <a:xfrm flipH="1" flipV="1">
                <a:off x="4623061" y="4372487"/>
                <a:ext cx="184215" cy="184204"/>
              </a:xfrm>
              <a:prstGeom prst="triangle">
                <a:avLst>
                  <a:gd name="adj" fmla="val 67003"/>
                </a:avLst>
              </a:prstGeom>
              <a:solidFill>
                <a:srgbClr val="F7D366"/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72" name="Triangle 71">
                <a:extLst>
                  <a:ext uri="{FF2B5EF4-FFF2-40B4-BE49-F238E27FC236}">
                    <a16:creationId xmlns:a16="http://schemas.microsoft.com/office/drawing/2014/main" id="{83286CA2-5D61-4514-6E69-D07012EAD989}"/>
                  </a:ext>
                </a:extLst>
              </xdr:cNvPr>
              <xdr:cNvSpPr/>
            </xdr:nvSpPr>
            <xdr:spPr>
              <a:xfrm flipH="1" flipV="1">
                <a:off x="3843329" y="4194781"/>
                <a:ext cx="332125" cy="363877"/>
              </a:xfrm>
              <a:prstGeom prst="triangle">
                <a:avLst>
                  <a:gd name="adj" fmla="val 77581"/>
                </a:avLst>
              </a:prstGeom>
              <a:solidFill>
                <a:schemeClr val="tx1">
                  <a:lumMod val="75000"/>
                  <a:lumOff val="25000"/>
                </a:schemeClr>
              </a:solidFill>
              <a:ln>
                <a:noFill/>
              </a:ln>
              <a:effectLst>
                <a:outerShdw blurRad="289532" dist="50800" dir="2700000" algn="tl" rotWithShape="0">
                  <a:prstClr val="black">
                    <a:alpha val="12000"/>
                  </a:prst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</xdr:grpSp>
        <xdr:grpSp>
          <xdr:nvGrpSpPr>
            <xdr:cNvPr id="56" name="Group 55">
              <a:extLst>
                <a:ext uri="{FF2B5EF4-FFF2-40B4-BE49-F238E27FC236}">
                  <a16:creationId xmlns:a16="http://schemas.microsoft.com/office/drawing/2014/main" id="{2B464A16-1CA9-A290-87AA-A5BCCF863D64}"/>
                </a:ext>
              </a:extLst>
            </xdr:cNvPr>
            <xdr:cNvGrpSpPr/>
          </xdr:nvGrpSpPr>
          <xdr:grpSpPr>
            <a:xfrm>
              <a:off x="3246389" y="4607426"/>
              <a:ext cx="1709351" cy="623449"/>
              <a:chOff x="3246389" y="4607426"/>
              <a:chExt cx="1709351" cy="623449"/>
            </a:xfrm>
          </xdr:grpSpPr>
          <xdr:sp macro="" textlink="">
            <xdr:nvSpPr>
              <xdr:cNvPr id="57" name="TextBox 56">
                <a:extLst>
                  <a:ext uri="{FF2B5EF4-FFF2-40B4-BE49-F238E27FC236}">
                    <a16:creationId xmlns:a16="http://schemas.microsoft.com/office/drawing/2014/main" id="{F2C51B2E-F5C2-BD82-5892-816CCD9F5F9B}"/>
                  </a:ext>
                </a:extLst>
              </xdr:cNvPr>
              <xdr:cNvSpPr txBox="1"/>
            </xdr:nvSpPr>
            <xdr:spPr>
              <a:xfrm>
                <a:off x="3305304" y="4887224"/>
                <a:ext cx="1650436" cy="343651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lIns="0" tIns="0" rIns="0" bIns="0" rtlCol="0" anchor="ctr"/>
              <a:lstStyle/>
              <a:p>
                <a:pPr algn="l"/>
                <a:r>
                  <a:rPr lang="en-US" sz="1400" b="1" i="0">
                    <a:solidFill>
                      <a:schemeClr val="bg1"/>
                    </a:solidFill>
                    <a:latin typeface="Avenir Book" panose="02000503020000020003" pitchFamily="2" charset="0"/>
                  </a:rPr>
                  <a:t>Deal EV / EBITDA</a:t>
                </a:r>
                <a:endParaRPr lang="ru-RU" sz="900" b="1" i="1">
                  <a:solidFill>
                    <a:schemeClr val="bg1"/>
                  </a:solidFill>
                  <a:latin typeface="+mj-lt"/>
                </a:endParaRPr>
              </a:p>
            </xdr:txBody>
          </xdr:sp>
          <xdr:sp macro="" textlink="Transaction!D7">
            <xdr:nvSpPr>
              <xdr:cNvPr id="58" name="TextBox 57">
                <a:extLst>
                  <a:ext uri="{FF2B5EF4-FFF2-40B4-BE49-F238E27FC236}">
                    <a16:creationId xmlns:a16="http://schemas.microsoft.com/office/drawing/2014/main" id="{6276DA35-04CE-2407-19B3-F8F828EF7BA5}"/>
                  </a:ext>
                </a:extLst>
              </xdr:cNvPr>
              <xdr:cNvSpPr txBox="1"/>
            </xdr:nvSpPr>
            <xdr:spPr>
              <a:xfrm>
                <a:off x="3246389" y="4607426"/>
                <a:ext cx="860206" cy="325531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lIns="0" tIns="0" rIns="0" bIns="0" rtlCol="0" anchor="t"/>
              <a:lstStyle/>
              <a:p>
                <a:pPr algn="l"/>
                <a:fld id="{41A0F409-B00C-8E4F-B1E5-E8F550C91E68}" type="TxLink">
                  <a:rPr lang="en-US" sz="2000" b="1" i="0" u="none" strike="noStrike">
                    <a:solidFill>
                      <a:schemeClr val="bg1"/>
                    </a:solidFill>
                    <a:latin typeface="Montserrat Regular"/>
                  </a:rPr>
                  <a:pPr algn="l"/>
                  <a:t> 5,0 </a:t>
                </a:fld>
                <a:endParaRPr lang="ru-RU" sz="9600" b="1">
                  <a:solidFill>
                    <a:schemeClr val="bg1"/>
                  </a:solidFill>
                  <a:latin typeface="+mj-lt"/>
                </a:endParaRPr>
              </a:p>
            </xdr:txBody>
          </xdr:sp>
        </xdr:grpSp>
      </xdr:grpSp>
      <xdr:sp macro="" textlink="">
        <xdr:nvSpPr>
          <xdr:cNvPr id="53" name="Triangle 52">
            <a:extLst>
              <a:ext uri="{FF2B5EF4-FFF2-40B4-BE49-F238E27FC236}">
                <a16:creationId xmlns:a16="http://schemas.microsoft.com/office/drawing/2014/main" id="{48FE0107-6071-E88E-29E4-832C43E6A6A8}"/>
              </a:ext>
            </a:extLst>
          </xdr:cNvPr>
          <xdr:cNvSpPr/>
        </xdr:nvSpPr>
        <xdr:spPr>
          <a:xfrm>
            <a:off x="6725190" y="4678216"/>
            <a:ext cx="182625" cy="186735"/>
          </a:xfrm>
          <a:prstGeom prst="triangle">
            <a:avLst/>
          </a:prstGeom>
          <a:gradFill>
            <a:gsLst>
              <a:gs pos="100000">
                <a:schemeClr val="tx1">
                  <a:lumMod val="65000"/>
                  <a:lumOff val="35000"/>
                </a:schemeClr>
              </a:gs>
              <a:gs pos="100000">
                <a:schemeClr val="accent1">
                  <a:lumMod val="45000"/>
                  <a:lumOff val="55000"/>
                </a:schemeClr>
              </a:gs>
              <a:gs pos="11000">
                <a:schemeClr val="accent1">
                  <a:lumMod val="45000"/>
                  <a:lumOff val="55000"/>
                </a:schemeClr>
              </a:gs>
              <a:gs pos="100000">
                <a:srgbClr val="6821E4"/>
              </a:gs>
            </a:gsLst>
            <a:lin ang="5400000" scaled="1"/>
          </a:gradFill>
          <a:ln>
            <a:noFill/>
          </a:ln>
          <a:effectLst>
            <a:outerShdw blurRad="289532" dist="50800" dir="2700000" algn="tl" rotWithShape="0">
              <a:prstClr val="black">
                <a:alpha val="12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4" name="Triangle 53">
            <a:extLst>
              <a:ext uri="{FF2B5EF4-FFF2-40B4-BE49-F238E27FC236}">
                <a16:creationId xmlns:a16="http://schemas.microsoft.com/office/drawing/2014/main" id="{268BBA70-0C3B-4DC0-DF53-F0DBACCFA853}"/>
              </a:ext>
            </a:extLst>
          </xdr:cNvPr>
          <xdr:cNvSpPr/>
        </xdr:nvSpPr>
        <xdr:spPr>
          <a:xfrm>
            <a:off x="6446404" y="4491653"/>
            <a:ext cx="185005" cy="186735"/>
          </a:xfrm>
          <a:prstGeom prst="triangle">
            <a:avLst>
              <a:gd name="adj" fmla="val 68937"/>
            </a:avLst>
          </a:prstGeom>
          <a:solidFill>
            <a:schemeClr val="tx1">
              <a:lumMod val="95000"/>
              <a:lumOff val="5000"/>
            </a:schemeClr>
          </a:solidFill>
          <a:ln>
            <a:noFill/>
          </a:ln>
          <a:effectLst>
            <a:outerShdw blurRad="289532" dist="50800" dir="2700000" algn="tl" rotWithShape="0">
              <a:prstClr val="black">
                <a:alpha val="12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>
    <xdr:from>
      <xdr:col>5</xdr:col>
      <xdr:colOff>850900</xdr:colOff>
      <xdr:row>1</xdr:row>
      <xdr:rowOff>88900</xdr:rowOff>
    </xdr:from>
    <xdr:to>
      <xdr:col>7</xdr:col>
      <xdr:colOff>655511</xdr:colOff>
      <xdr:row>2</xdr:row>
      <xdr:rowOff>110066</xdr:rowOff>
    </xdr:to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4D574129-337E-E544-9D8A-C02B2C49C7D9}"/>
            </a:ext>
          </a:extLst>
        </xdr:cNvPr>
        <xdr:cNvSpPr txBox="1"/>
      </xdr:nvSpPr>
      <xdr:spPr>
        <a:xfrm>
          <a:off x="5346700" y="279400"/>
          <a:ext cx="1709611" cy="2116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r>
            <a:rPr lang="en-US" sz="1200" b="1">
              <a:solidFill>
                <a:schemeClr val="dk1"/>
              </a:solidFill>
              <a:latin typeface="+mj-lt"/>
            </a:rPr>
            <a:t>DEBT</a:t>
          </a:r>
          <a:r>
            <a:rPr lang="en-US" sz="1200" b="1" baseline="0">
              <a:solidFill>
                <a:schemeClr val="dk1"/>
              </a:solidFill>
              <a:latin typeface="+mj-lt"/>
            </a:rPr>
            <a:t> STRUCTURE</a:t>
          </a:r>
          <a:endParaRPr lang="ru-RU" sz="1200" b="1">
            <a:solidFill>
              <a:schemeClr val="bg1">
                <a:lumMod val="50000"/>
              </a:schemeClr>
            </a:solidFill>
            <a:latin typeface="+mj-lt"/>
          </a:endParaRPr>
        </a:p>
      </xdr:txBody>
    </xdr:sp>
    <xdr:clientData/>
  </xdr:twoCellAnchor>
  <xdr:twoCellAnchor>
    <xdr:from>
      <xdr:col>3</xdr:col>
      <xdr:colOff>203200</xdr:colOff>
      <xdr:row>3</xdr:row>
      <xdr:rowOff>139700</xdr:rowOff>
    </xdr:from>
    <xdr:to>
      <xdr:col>5</xdr:col>
      <xdr:colOff>674200</xdr:colOff>
      <xdr:row>15</xdr:row>
      <xdr:rowOff>121700</xdr:rowOff>
    </xdr:to>
    <xdr:graphicFrame macro="">
      <xdr:nvGraphicFramePr>
        <xdr:cNvPr id="75" name="Chart 74">
          <a:extLst>
            <a:ext uri="{FF2B5EF4-FFF2-40B4-BE49-F238E27FC236}">
              <a16:creationId xmlns:a16="http://schemas.microsoft.com/office/drawing/2014/main" id="{4697890A-AABF-3E4A-9977-5A79A74013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901700</xdr:colOff>
      <xdr:row>8</xdr:row>
      <xdr:rowOff>63500</xdr:rowOff>
    </xdr:from>
    <xdr:to>
      <xdr:col>4</xdr:col>
      <xdr:colOff>889000</xdr:colOff>
      <xdr:row>10</xdr:row>
      <xdr:rowOff>0</xdr:rowOff>
    </xdr:to>
    <xdr:sp macro="" textlink="Transaction!D12">
      <xdr:nvSpPr>
        <xdr:cNvPr id="76" name="TextBox 75">
          <a:extLst>
            <a:ext uri="{FF2B5EF4-FFF2-40B4-BE49-F238E27FC236}">
              <a16:creationId xmlns:a16="http://schemas.microsoft.com/office/drawing/2014/main" id="{F27CC583-A0C8-152E-CFFC-24BED057B16A}"/>
            </a:ext>
          </a:extLst>
        </xdr:cNvPr>
        <xdr:cNvSpPr txBox="1"/>
      </xdr:nvSpPr>
      <xdr:spPr>
        <a:xfrm>
          <a:off x="3492500" y="1587500"/>
          <a:ext cx="939800" cy="3175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734F978B-87FC-AB49-9EFB-01AB3A55B29A}" type="TxLink">
            <a:rPr lang="en-US" sz="1050" b="0" i="0" u="none" strike="noStrike">
              <a:solidFill>
                <a:srgbClr val="05070F"/>
              </a:solidFill>
              <a:latin typeface="Montserrat Medium"/>
            </a:rPr>
            <a:pPr algn="ctr"/>
            <a:t>270 000,0 </a:t>
          </a:fld>
          <a:endParaRPr lang="en-GB" sz="1400"/>
        </a:p>
      </xdr:txBody>
    </xdr:sp>
    <xdr:clientData/>
  </xdr:twoCellAnchor>
  <xdr:twoCellAnchor>
    <xdr:from>
      <xdr:col>5</xdr:col>
      <xdr:colOff>406400</xdr:colOff>
      <xdr:row>3</xdr:row>
      <xdr:rowOff>101600</xdr:rowOff>
    </xdr:from>
    <xdr:to>
      <xdr:col>7</xdr:col>
      <xdr:colOff>877400</xdr:colOff>
      <xdr:row>15</xdr:row>
      <xdr:rowOff>83600</xdr:rowOff>
    </xdr:to>
    <xdr:graphicFrame macro="">
      <xdr:nvGraphicFramePr>
        <xdr:cNvPr id="77" name="Chart 76">
          <a:extLst>
            <a:ext uri="{FF2B5EF4-FFF2-40B4-BE49-F238E27FC236}">
              <a16:creationId xmlns:a16="http://schemas.microsoft.com/office/drawing/2014/main" id="{C3BF9D5D-E92E-0D48-ABBA-FD9749BE24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334818</xdr:colOff>
      <xdr:row>19</xdr:row>
      <xdr:rowOff>138545</xdr:rowOff>
    </xdr:from>
    <xdr:to>
      <xdr:col>7</xdr:col>
      <xdr:colOff>635000</xdr:colOff>
      <xdr:row>30</xdr:row>
      <xdr:rowOff>62425</xdr:rowOff>
    </xdr:to>
    <xdr:graphicFrame macro="">
      <xdr:nvGraphicFramePr>
        <xdr:cNvPr id="78" name="Диаграмма 23">
          <a:extLst>
            <a:ext uri="{FF2B5EF4-FFF2-40B4-BE49-F238E27FC236}">
              <a16:creationId xmlns:a16="http://schemas.microsoft.com/office/drawing/2014/main" id="{EE8AEAFE-279B-0E48-BA7D-F08ADD7DB8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916710</xdr:colOff>
      <xdr:row>19</xdr:row>
      <xdr:rowOff>114300</xdr:rowOff>
    </xdr:from>
    <xdr:to>
      <xdr:col>12</xdr:col>
      <xdr:colOff>564611</xdr:colOff>
      <xdr:row>30</xdr:row>
      <xdr:rowOff>38180</xdr:rowOff>
    </xdr:to>
    <xdr:graphicFrame macro="">
      <xdr:nvGraphicFramePr>
        <xdr:cNvPr id="79" name="Диаграмма 23">
          <a:extLst>
            <a:ext uri="{FF2B5EF4-FFF2-40B4-BE49-F238E27FC236}">
              <a16:creationId xmlns:a16="http://schemas.microsoft.com/office/drawing/2014/main" id="{31402776-EB9F-564D-9BA0-CCE0D4683E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34636</xdr:colOff>
      <xdr:row>19</xdr:row>
      <xdr:rowOff>115454</xdr:rowOff>
    </xdr:from>
    <xdr:to>
      <xdr:col>17</xdr:col>
      <xdr:colOff>640811</xdr:colOff>
      <xdr:row>30</xdr:row>
      <xdr:rowOff>39334</xdr:rowOff>
    </xdr:to>
    <xdr:graphicFrame macro="">
      <xdr:nvGraphicFramePr>
        <xdr:cNvPr id="80" name="Диаграмма 23">
          <a:extLst>
            <a:ext uri="{FF2B5EF4-FFF2-40B4-BE49-F238E27FC236}">
              <a16:creationId xmlns:a16="http://schemas.microsoft.com/office/drawing/2014/main" id="{FE13D976-8EE7-5E40-A66D-26367A8ACA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NKL AdvisoryC8A165">
      <a:dk1>
        <a:srgbClr val="05070F"/>
      </a:dk1>
      <a:lt1>
        <a:srgbClr val="FFFFFF"/>
      </a:lt1>
      <a:dk2>
        <a:srgbClr val="6B798A"/>
      </a:dk2>
      <a:lt2>
        <a:srgbClr val="F5F7FA"/>
      </a:lt2>
      <a:accent1>
        <a:srgbClr val="C8A165"/>
      </a:accent1>
      <a:accent2>
        <a:srgbClr val="D3AF37"/>
      </a:accent2>
      <a:accent3>
        <a:srgbClr val="1F3A5F"/>
      </a:accent3>
      <a:accent4>
        <a:srgbClr val="B0C0D0"/>
      </a:accent4>
      <a:accent5>
        <a:srgbClr val="E0E7FF"/>
      </a:accent5>
      <a:accent6>
        <a:srgbClr val="3A6FA3"/>
      </a:accent6>
      <a:hlink>
        <a:srgbClr val="3A6FA3"/>
      </a:hlink>
      <a:folHlink>
        <a:srgbClr val="644C5B"/>
      </a:folHlink>
    </a:clrScheme>
    <a:fontScheme name="Ink Advisory">
      <a:majorFont>
        <a:latin typeface="Montserrat SemiBold"/>
        <a:ea typeface=""/>
        <a:cs typeface=""/>
      </a:majorFont>
      <a:minorFont>
        <a:latin typeface="Montserrat Medium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E8A27-27A5-C24B-BB6C-13EC09057C1E}">
  <sheetPr codeName="Sheet1">
    <tabColor theme="6"/>
  </sheetPr>
  <dimension ref="A1:H44"/>
  <sheetViews>
    <sheetView showGridLines="0" workbookViewId="0">
      <selection activeCell="D38" sqref="D38"/>
    </sheetView>
  </sheetViews>
  <sheetFormatPr baseColWidth="10" defaultRowHeight="15"/>
  <cols>
    <col min="1" max="16384" width="10.7109375" style="1"/>
  </cols>
  <sheetData>
    <row r="1" spans="1:8">
      <c r="A1" s="7"/>
      <c r="B1" s="7"/>
      <c r="C1" s="7"/>
      <c r="D1" s="7"/>
      <c r="E1" s="7"/>
      <c r="F1" s="7"/>
      <c r="G1" s="7"/>
      <c r="H1" s="7"/>
    </row>
    <row r="2" spans="1:8">
      <c r="A2" s="7"/>
      <c r="B2" s="7"/>
      <c r="C2" s="7"/>
      <c r="D2" s="7"/>
      <c r="E2" s="7"/>
      <c r="F2" s="7"/>
      <c r="G2" s="7"/>
      <c r="H2" s="7"/>
    </row>
    <row r="3" spans="1:8">
      <c r="A3" s="7"/>
      <c r="B3" s="7"/>
      <c r="C3" s="7"/>
      <c r="D3" s="7"/>
      <c r="E3" s="7"/>
      <c r="F3" s="7"/>
      <c r="G3" s="7"/>
      <c r="H3" s="7"/>
    </row>
    <row r="4" spans="1:8">
      <c r="A4" s="7"/>
      <c r="B4" s="7"/>
      <c r="C4" s="7"/>
      <c r="D4" s="7"/>
      <c r="E4" s="7"/>
      <c r="F4" s="7"/>
      <c r="G4" s="7"/>
      <c r="H4" s="7"/>
    </row>
    <row r="5" spans="1:8">
      <c r="A5" s="7"/>
      <c r="B5" s="7"/>
      <c r="C5" s="7"/>
      <c r="D5" s="7"/>
      <c r="E5" s="7"/>
      <c r="F5" s="7"/>
      <c r="G5" s="7"/>
      <c r="H5" s="7"/>
    </row>
    <row r="6" spans="1:8">
      <c r="A6" s="7"/>
      <c r="B6" s="7"/>
      <c r="C6" s="7"/>
      <c r="D6" s="7"/>
      <c r="E6" s="7"/>
      <c r="F6" s="7"/>
      <c r="G6" s="7"/>
      <c r="H6" s="7"/>
    </row>
    <row r="7" spans="1:8">
      <c r="A7" s="7"/>
      <c r="B7" s="22" t="s">
        <v>58</v>
      </c>
      <c r="C7" s="7"/>
      <c r="D7" s="7"/>
      <c r="E7" s="7"/>
      <c r="F7" s="7"/>
      <c r="G7" s="7"/>
      <c r="H7" s="7"/>
    </row>
    <row r="8" spans="1:8" ht="24">
      <c r="A8" s="7"/>
      <c r="B8" s="9" t="s">
        <v>39</v>
      </c>
      <c r="C8" s="7"/>
      <c r="D8" s="7"/>
      <c r="E8" s="7"/>
      <c r="F8" s="7"/>
      <c r="G8" s="7"/>
      <c r="H8" s="7"/>
    </row>
    <row r="9" spans="1:8">
      <c r="A9" s="7"/>
      <c r="B9" s="7"/>
      <c r="C9" s="7"/>
      <c r="D9" s="7"/>
      <c r="E9" s="7"/>
      <c r="F9" s="7"/>
      <c r="G9" s="7"/>
      <c r="H9" s="7"/>
    </row>
    <row r="10" spans="1:8">
      <c r="A10" s="7"/>
      <c r="B10" s="7"/>
      <c r="C10" s="7"/>
      <c r="D10" s="7"/>
      <c r="E10" s="7"/>
      <c r="F10" s="7"/>
      <c r="G10" s="7"/>
      <c r="H10" s="7"/>
    </row>
    <row r="11" spans="1:8">
      <c r="A11" s="7"/>
      <c r="B11" s="7"/>
      <c r="C11" s="7"/>
      <c r="D11" s="7"/>
      <c r="E11" s="7"/>
      <c r="F11" s="7"/>
      <c r="G11" s="7"/>
      <c r="H11" s="7"/>
    </row>
    <row r="12" spans="1:8">
      <c r="A12" s="7"/>
      <c r="B12" s="7"/>
      <c r="C12" s="7"/>
      <c r="D12" s="7"/>
      <c r="E12" s="7"/>
      <c r="F12" s="7"/>
      <c r="G12" s="7"/>
      <c r="H12" s="7"/>
    </row>
    <row r="13" spans="1:8">
      <c r="A13" s="7"/>
      <c r="B13" s="7"/>
      <c r="C13" s="7"/>
      <c r="D13" s="7"/>
      <c r="E13" s="7"/>
      <c r="F13" s="7"/>
      <c r="G13" s="7"/>
      <c r="H13" s="7"/>
    </row>
    <row r="14" spans="1:8">
      <c r="A14" s="7"/>
      <c r="B14" s="7"/>
      <c r="C14" s="7"/>
      <c r="D14" s="7"/>
      <c r="E14" s="7"/>
      <c r="F14" s="7"/>
      <c r="G14" s="7"/>
      <c r="H14" s="7"/>
    </row>
    <row r="15" spans="1:8">
      <c r="A15" s="7"/>
      <c r="B15" s="7"/>
      <c r="C15" s="7"/>
      <c r="D15" s="7"/>
      <c r="E15" s="7"/>
      <c r="F15" s="7"/>
      <c r="G15" s="7"/>
      <c r="H15" s="7"/>
    </row>
    <row r="16" spans="1:8">
      <c r="A16" s="7"/>
      <c r="B16" s="7"/>
      <c r="C16" s="7"/>
      <c r="D16" s="7"/>
      <c r="E16" s="7"/>
      <c r="F16" s="7"/>
      <c r="G16" s="7"/>
      <c r="H16" s="7"/>
    </row>
    <row r="17" spans="1:8">
      <c r="A17" s="7"/>
      <c r="B17" s="7"/>
      <c r="C17" s="7"/>
      <c r="D17" s="7"/>
      <c r="E17" s="7"/>
      <c r="F17" s="7"/>
      <c r="G17" s="7"/>
      <c r="H17" s="7"/>
    </row>
    <row r="18" spans="1:8">
      <c r="A18" s="7"/>
      <c r="B18" s="7"/>
      <c r="C18" s="7"/>
      <c r="D18" s="7"/>
      <c r="E18" s="7"/>
      <c r="F18" s="7"/>
      <c r="G18" s="7"/>
      <c r="H18" s="7"/>
    </row>
    <row r="19" spans="1:8">
      <c r="A19" s="7"/>
      <c r="B19" s="7"/>
      <c r="C19" s="7"/>
      <c r="D19" s="7"/>
      <c r="E19" s="7"/>
      <c r="F19" s="7"/>
      <c r="G19" s="7"/>
      <c r="H19" s="7"/>
    </row>
    <row r="20" spans="1:8">
      <c r="A20" s="7"/>
      <c r="B20" s="7"/>
      <c r="C20" s="7"/>
      <c r="D20" s="7"/>
      <c r="E20" s="7"/>
      <c r="F20" s="7"/>
      <c r="G20" s="7"/>
      <c r="H20" s="7"/>
    </row>
    <row r="21" spans="1:8">
      <c r="A21" s="7"/>
      <c r="B21" s="7"/>
      <c r="C21" s="7"/>
      <c r="D21" s="7"/>
      <c r="E21" s="7"/>
      <c r="F21" s="7"/>
      <c r="G21" s="7"/>
      <c r="H21" s="7"/>
    </row>
    <row r="22" spans="1:8">
      <c r="A22" s="7"/>
      <c r="B22" s="8"/>
      <c r="C22" s="8"/>
      <c r="D22" s="7"/>
      <c r="E22" s="7"/>
      <c r="F22" s="7"/>
      <c r="G22" s="7"/>
      <c r="H22" s="7"/>
    </row>
    <row r="23" spans="1:8">
      <c r="A23" s="7"/>
      <c r="B23" s="8"/>
      <c r="C23" s="8"/>
      <c r="D23" s="7"/>
      <c r="E23" s="7"/>
      <c r="F23" s="7"/>
      <c r="G23" s="7"/>
      <c r="H23" s="7"/>
    </row>
    <row r="24" spans="1:8">
      <c r="A24" s="7"/>
      <c r="B24" s="8"/>
      <c r="C24" s="8"/>
      <c r="D24" s="7"/>
      <c r="E24" s="7"/>
      <c r="F24" s="7"/>
      <c r="G24" s="7"/>
      <c r="H24" s="7"/>
    </row>
    <row r="25" spans="1:8">
      <c r="A25" s="7"/>
      <c r="B25" s="8"/>
      <c r="C25" s="8"/>
      <c r="D25" s="7"/>
      <c r="E25" s="7"/>
      <c r="F25" s="7"/>
      <c r="G25" s="7"/>
      <c r="H25" s="7"/>
    </row>
    <row r="26" spans="1:8">
      <c r="A26" s="7"/>
      <c r="B26" s="8"/>
      <c r="C26" s="8"/>
      <c r="D26" s="7"/>
      <c r="E26" s="7"/>
      <c r="F26" s="7"/>
      <c r="G26" s="7"/>
      <c r="H26" s="7"/>
    </row>
    <row r="27" spans="1:8">
      <c r="A27" s="7"/>
      <c r="B27" s="8"/>
      <c r="C27" s="8"/>
      <c r="D27" s="7"/>
      <c r="E27" s="7"/>
      <c r="F27" s="7"/>
      <c r="G27" s="7"/>
      <c r="H27" s="7"/>
    </row>
    <row r="28" spans="1:8">
      <c r="A28" s="7"/>
      <c r="B28" s="8"/>
      <c r="C28" s="8"/>
      <c r="D28" s="7"/>
      <c r="E28" s="7"/>
      <c r="F28" s="7"/>
      <c r="G28" s="7"/>
      <c r="H28" s="7"/>
    </row>
    <row r="29" spans="1:8">
      <c r="A29" s="7"/>
      <c r="B29" s="8"/>
      <c r="C29" s="8"/>
      <c r="D29" s="7"/>
      <c r="E29" s="7"/>
      <c r="F29" s="7"/>
      <c r="G29" s="7"/>
      <c r="H29" s="7"/>
    </row>
    <row r="30" spans="1:8">
      <c r="A30" s="7"/>
      <c r="B30" s="8"/>
      <c r="C30" s="8"/>
      <c r="D30" s="7"/>
      <c r="E30" s="7"/>
      <c r="F30" s="7"/>
      <c r="G30" s="7"/>
      <c r="H30" s="7"/>
    </row>
    <row r="31" spans="1:8">
      <c r="A31" s="7"/>
      <c r="B31" s="8"/>
      <c r="C31" s="8"/>
      <c r="D31" s="7"/>
      <c r="E31" s="7"/>
      <c r="F31" s="7"/>
      <c r="G31" s="7"/>
      <c r="H31" s="7"/>
    </row>
    <row r="32" spans="1:8">
      <c r="A32" s="7"/>
      <c r="B32" s="8"/>
      <c r="C32" s="8"/>
      <c r="D32" s="7"/>
      <c r="E32" s="7"/>
      <c r="F32" s="7"/>
      <c r="G32" s="7"/>
      <c r="H32" s="7"/>
    </row>
    <row r="33" spans="1:8">
      <c r="A33" s="7"/>
      <c r="B33" s="8"/>
      <c r="C33" s="8"/>
      <c r="D33" s="7"/>
      <c r="E33" s="7"/>
      <c r="F33" s="7"/>
      <c r="G33" s="7"/>
      <c r="H33" s="7"/>
    </row>
    <row r="34" spans="1:8">
      <c r="A34" s="7"/>
      <c r="B34" s="8"/>
      <c r="C34" s="8"/>
      <c r="D34" s="7"/>
      <c r="E34" s="7"/>
      <c r="F34" s="7"/>
      <c r="G34" s="7"/>
      <c r="H34" s="7"/>
    </row>
    <row r="35" spans="1:8">
      <c r="A35" s="7"/>
      <c r="B35" s="8"/>
      <c r="C35" s="8"/>
      <c r="D35" s="7"/>
      <c r="E35" s="7"/>
      <c r="F35" s="7"/>
      <c r="G35" s="7"/>
      <c r="H35" s="7"/>
    </row>
    <row r="36" spans="1:8">
      <c r="A36" s="7"/>
      <c r="B36" s="7"/>
      <c r="C36" s="7"/>
      <c r="D36" s="7"/>
      <c r="E36" s="7"/>
      <c r="F36" s="7"/>
      <c r="G36" s="7"/>
      <c r="H36" s="7"/>
    </row>
    <row r="37" spans="1:8">
      <c r="A37" s="7"/>
      <c r="B37" s="7"/>
      <c r="C37" s="7"/>
      <c r="D37" s="7"/>
      <c r="E37" s="7"/>
      <c r="F37" s="7"/>
      <c r="G37" s="7"/>
      <c r="H37" s="7"/>
    </row>
    <row r="38" spans="1:8">
      <c r="A38" s="7"/>
      <c r="B38" s="7"/>
      <c r="C38" s="7"/>
      <c r="D38" s="7"/>
      <c r="E38" s="7"/>
      <c r="F38" s="7"/>
      <c r="G38" s="7"/>
      <c r="H38" s="7"/>
    </row>
    <row r="39" spans="1:8">
      <c r="A39" s="7"/>
      <c r="B39" s="7"/>
      <c r="C39" s="7"/>
      <c r="D39" s="7"/>
      <c r="E39" s="7"/>
      <c r="F39" s="7"/>
      <c r="G39" s="7"/>
      <c r="H39" s="7"/>
    </row>
    <row r="40" spans="1:8">
      <c r="A40" s="7"/>
      <c r="B40" s="7"/>
      <c r="C40" s="7"/>
      <c r="D40" s="7"/>
      <c r="E40" s="7"/>
      <c r="F40" s="7"/>
      <c r="G40" s="7"/>
      <c r="H40" s="7"/>
    </row>
    <row r="41" spans="1:8">
      <c r="A41" s="7"/>
      <c r="B41" s="7"/>
      <c r="C41" s="7"/>
      <c r="D41" s="7"/>
      <c r="E41" s="7"/>
      <c r="F41" s="7"/>
      <c r="G41" s="7"/>
      <c r="H41" s="7"/>
    </row>
    <row r="42" spans="1:8">
      <c r="A42" s="7"/>
      <c r="B42" s="7"/>
      <c r="C42" s="7"/>
      <c r="D42" s="7"/>
      <c r="E42" s="7"/>
      <c r="F42" s="7"/>
      <c r="G42" s="7"/>
      <c r="H42" s="7"/>
    </row>
    <row r="43" spans="1:8">
      <c r="A43" s="7"/>
      <c r="B43" s="7"/>
      <c r="C43" s="7"/>
      <c r="D43" s="7"/>
      <c r="E43" s="7"/>
      <c r="F43" s="7"/>
      <c r="G43" s="7"/>
      <c r="H43" s="7"/>
    </row>
    <row r="44" spans="1:8">
      <c r="A44" s="7"/>
      <c r="B44" s="7"/>
      <c r="C44" s="7"/>
      <c r="D44" s="7"/>
      <c r="E44" s="7"/>
      <c r="F44" s="7"/>
      <c r="G44" s="7"/>
      <c r="H44" s="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9AE07-7861-4649-94B5-BB6E3C3F493D}">
  <sheetPr>
    <tabColor theme="2" tint="-0.249977111117893"/>
  </sheetPr>
  <dimension ref="A1"/>
  <sheetViews>
    <sheetView showGridLines="0" tabSelected="1" zoomScale="110" zoomScaleNormal="110" workbookViewId="0">
      <selection activeCell="L40" sqref="L40"/>
    </sheetView>
  </sheetViews>
  <sheetFormatPr baseColWidth="10" defaultRowHeight="15"/>
  <cols>
    <col min="1" max="3" width="9.7109375" style="164" customWidth="1"/>
    <col min="4" max="16384" width="10.7109375" style="164"/>
  </cols>
  <sheetData/>
  <sheetProtection algorithmName="SHA-512" hashValue="hftaT5+jObJVWHB2eTmgcCR98iz9VqUfOVz5eR5fNMB40A7eyzViVMsIKp0pFueqiBCUMFm5DX/G/GnxUF5iNw==" saltValue="nNC2Sp0VGqXHlEmjfqScKg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26CF1-A798-934B-84E2-AAB33508EA98}">
  <sheetPr>
    <tabColor theme="9" tint="0.59999389629810485"/>
  </sheetPr>
  <dimension ref="B1:J48"/>
  <sheetViews>
    <sheetView showGridLines="0" zoomScale="150" zoomScaleNormal="150" workbookViewId="0">
      <pane ySplit="7" topLeftCell="A8" activePane="bottomLeft" state="frozen"/>
      <selection activeCell="P20" sqref="P20"/>
      <selection pane="bottomLeft" activeCell="D23" sqref="D23"/>
    </sheetView>
  </sheetViews>
  <sheetFormatPr baseColWidth="10" defaultColWidth="8.7109375" defaultRowHeight="11" outlineLevelRow="1"/>
  <cols>
    <col min="1" max="1" width="2.85546875" style="12" customWidth="1"/>
    <col min="2" max="2" width="25.5703125" style="12" customWidth="1"/>
    <col min="3" max="3" width="5.42578125" style="3" bestFit="1" customWidth="1"/>
    <col min="4" max="4" width="7.7109375" style="12" bestFit="1" customWidth="1"/>
    <col min="5" max="8" width="6.7109375" style="12" bestFit="1" customWidth="1"/>
    <col min="9" max="9" width="6.42578125" style="12" bestFit="1" customWidth="1"/>
    <col min="10" max="10" width="6.7109375" style="12" bestFit="1" customWidth="1"/>
    <col min="11" max="16384" width="8.7109375" style="12"/>
  </cols>
  <sheetData>
    <row r="1" spans="2:10" ht="16" customHeight="1">
      <c r="C1" s="10"/>
    </row>
    <row r="2" spans="2:10">
      <c r="B2" s="13" t="s">
        <v>12</v>
      </c>
      <c r="C2" s="2"/>
      <c r="D2" s="14">
        <v>2026</v>
      </c>
      <c r="E2" s="20">
        <f t="shared" ref="E2:J2" si="0">D2+1</f>
        <v>2027</v>
      </c>
      <c r="F2" s="20">
        <f t="shared" si="0"/>
        <v>2028</v>
      </c>
      <c r="G2" s="20">
        <f t="shared" si="0"/>
        <v>2029</v>
      </c>
      <c r="H2" s="20">
        <f t="shared" si="0"/>
        <v>2030</v>
      </c>
      <c r="I2" s="20">
        <f t="shared" si="0"/>
        <v>2031</v>
      </c>
      <c r="J2" s="20">
        <f t="shared" si="0"/>
        <v>2032</v>
      </c>
    </row>
    <row r="3" spans="2:10">
      <c r="B3" s="13" t="s">
        <v>48</v>
      </c>
      <c r="C3" s="2"/>
      <c r="D3" s="14" t="s">
        <v>46</v>
      </c>
      <c r="E3" s="20" t="s">
        <v>47</v>
      </c>
      <c r="F3" s="20" t="s">
        <v>47</v>
      </c>
      <c r="G3" s="20" t="s">
        <v>47</v>
      </c>
      <c r="H3" s="20" t="s">
        <v>47</v>
      </c>
      <c r="I3" s="20" t="s">
        <v>47</v>
      </c>
      <c r="J3" s="20" t="s">
        <v>47</v>
      </c>
    </row>
    <row r="4" spans="2:10" outlineLevel="1">
      <c r="B4" s="13" t="s">
        <v>15</v>
      </c>
      <c r="C4" s="2"/>
      <c r="D4" s="14" t="s">
        <v>0</v>
      </c>
      <c r="E4" s="20" t="s">
        <v>0</v>
      </c>
      <c r="F4" s="20" t="s">
        <v>0</v>
      </c>
      <c r="G4" s="20" t="s">
        <v>0</v>
      </c>
      <c r="H4" s="20" t="s">
        <v>0</v>
      </c>
      <c r="I4" s="20" t="s">
        <v>0</v>
      </c>
      <c r="J4" s="20" t="s">
        <v>0</v>
      </c>
    </row>
    <row r="5" spans="2:10" outlineLevel="1">
      <c r="B5" s="13" t="s">
        <v>16</v>
      </c>
      <c r="C5" s="2"/>
      <c r="D5" s="14">
        <f>ROUNDDOWN(D6/30,0)</f>
        <v>12</v>
      </c>
      <c r="E5" s="20">
        <f>ROUNDDOWN(E6/30,0)</f>
        <v>12</v>
      </c>
      <c r="F5" s="20">
        <f>ROUNDDOWN(F6/30,0)</f>
        <v>12</v>
      </c>
      <c r="G5" s="20">
        <v>12</v>
      </c>
      <c r="H5" s="20">
        <v>12</v>
      </c>
      <c r="I5" s="20">
        <v>12</v>
      </c>
      <c r="J5" s="20">
        <v>12</v>
      </c>
    </row>
    <row r="6" spans="2:10" outlineLevel="1">
      <c r="B6" s="13" t="s">
        <v>31</v>
      </c>
      <c r="C6" s="2"/>
      <c r="D6" s="14">
        <v>366</v>
      </c>
      <c r="E6" s="20">
        <f t="shared" ref="E6:J6" si="1">E7-D7</f>
        <v>365</v>
      </c>
      <c r="F6" s="20">
        <f t="shared" si="1"/>
        <v>366</v>
      </c>
      <c r="G6" s="20">
        <f t="shared" si="1"/>
        <v>365</v>
      </c>
      <c r="H6" s="20">
        <f t="shared" si="1"/>
        <v>365</v>
      </c>
      <c r="I6" s="20">
        <f t="shared" si="1"/>
        <v>365</v>
      </c>
      <c r="J6" s="20">
        <f t="shared" si="1"/>
        <v>366</v>
      </c>
    </row>
    <row r="7" spans="2:10">
      <c r="B7" s="13" t="s">
        <v>13</v>
      </c>
      <c r="C7" s="2"/>
      <c r="D7" s="15">
        <f>DATE(D2,12,31)</f>
        <v>46387</v>
      </c>
      <c r="E7" s="21">
        <f t="shared" ref="E7:H7" si="2">DATE(E2,12,31)</f>
        <v>46752</v>
      </c>
      <c r="F7" s="21">
        <f t="shared" si="2"/>
        <v>47118</v>
      </c>
      <c r="G7" s="21">
        <f t="shared" si="2"/>
        <v>47483</v>
      </c>
      <c r="H7" s="21">
        <f t="shared" si="2"/>
        <v>47848</v>
      </c>
      <c r="I7" s="21">
        <f>DATE(I2,12,31)</f>
        <v>48213</v>
      </c>
      <c r="J7" s="21">
        <f>DATE(J2,12,31)</f>
        <v>48579</v>
      </c>
    </row>
    <row r="8" spans="2:10" ht="9" customHeight="1"/>
    <row r="9" spans="2:10">
      <c r="B9" s="161" t="s">
        <v>62</v>
      </c>
      <c r="C9" s="162"/>
      <c r="D9" s="163"/>
      <c r="E9" s="163"/>
      <c r="F9" s="163"/>
      <c r="G9" s="163"/>
      <c r="H9" s="163"/>
      <c r="I9" s="163"/>
      <c r="J9" s="163"/>
    </row>
    <row r="10" spans="2:10">
      <c r="B10" s="159" t="s">
        <v>139</v>
      </c>
      <c r="C10" s="25"/>
      <c r="D10" s="26"/>
      <c r="E10" s="26"/>
      <c r="F10" s="26"/>
      <c r="G10" s="26"/>
      <c r="H10" s="26"/>
      <c r="I10" s="26"/>
      <c r="J10" s="26"/>
    </row>
    <row r="11" spans="2:10">
      <c r="B11" s="160" t="s">
        <v>59</v>
      </c>
      <c r="C11" s="137" t="s">
        <v>1</v>
      </c>
      <c r="D11" s="158" t="s">
        <v>138</v>
      </c>
      <c r="E11" s="27">
        <v>0.03</v>
      </c>
      <c r="F11" s="27">
        <v>0.03</v>
      </c>
      <c r="G11" s="27">
        <v>0.03</v>
      </c>
      <c r="H11" s="27">
        <v>0.03</v>
      </c>
      <c r="I11" s="27">
        <v>0.03</v>
      </c>
      <c r="J11" s="27">
        <v>0.03</v>
      </c>
    </row>
    <row r="12" spans="2:10">
      <c r="B12" s="160" t="s">
        <v>54</v>
      </c>
      <c r="C12" s="137" t="s">
        <v>1</v>
      </c>
      <c r="D12" s="158">
        <f>FS!E14</f>
        <v>0.72222222222222221</v>
      </c>
      <c r="E12" s="27">
        <v>0.74</v>
      </c>
      <c r="F12" s="27">
        <v>0.74</v>
      </c>
      <c r="G12" s="27">
        <v>0.74</v>
      </c>
      <c r="H12" s="27">
        <v>0.74</v>
      </c>
      <c r="I12" s="27">
        <v>0.74</v>
      </c>
      <c r="J12" s="27">
        <v>0.74</v>
      </c>
    </row>
    <row r="13" spans="2:10">
      <c r="B13" s="160" t="s">
        <v>60</v>
      </c>
      <c r="C13" s="137" t="s">
        <v>111</v>
      </c>
      <c r="D13" s="139">
        <f>-FS!E16</f>
        <v>8000</v>
      </c>
      <c r="E13" s="6">
        <v>13000</v>
      </c>
      <c r="F13" s="6">
        <v>13000</v>
      </c>
      <c r="G13" s="6">
        <v>13000</v>
      </c>
      <c r="H13" s="6">
        <v>13000</v>
      </c>
      <c r="I13" s="6">
        <v>13000</v>
      </c>
      <c r="J13" s="6">
        <v>13000</v>
      </c>
    </row>
    <row r="14" spans="2:10">
      <c r="B14" s="160" t="s">
        <v>61</v>
      </c>
      <c r="C14" s="137" t="s">
        <v>1</v>
      </c>
      <c r="D14" s="158">
        <f>-FS!E20/FS!E11</f>
        <v>5.5555555555555552E-2</v>
      </c>
      <c r="E14" s="27">
        <v>0.05</v>
      </c>
      <c r="F14" s="27">
        <v>0.05</v>
      </c>
      <c r="G14" s="27">
        <v>0.05</v>
      </c>
      <c r="H14" s="27">
        <v>0.05</v>
      </c>
      <c r="I14" s="27">
        <v>0.05</v>
      </c>
      <c r="J14" s="27">
        <v>0.05</v>
      </c>
    </row>
    <row r="15" spans="2:10">
      <c r="B15" s="159" t="s">
        <v>140</v>
      </c>
      <c r="C15" s="25"/>
      <c r="D15" s="26"/>
      <c r="E15" s="26"/>
      <c r="F15" s="26"/>
      <c r="G15" s="26"/>
      <c r="H15" s="26"/>
      <c r="I15" s="26"/>
      <c r="J15" s="26"/>
    </row>
    <row r="16" spans="2:10">
      <c r="B16" s="160" t="s">
        <v>59</v>
      </c>
      <c r="C16" s="137" t="s">
        <v>1</v>
      </c>
      <c r="D16" s="158" t="str">
        <f>D11</f>
        <v>-</v>
      </c>
      <c r="E16" s="27">
        <v>0.03</v>
      </c>
      <c r="F16" s="27">
        <v>0.03</v>
      </c>
      <c r="G16" s="27">
        <v>0.03</v>
      </c>
      <c r="H16" s="27">
        <v>0.03</v>
      </c>
      <c r="I16" s="27">
        <v>0.03</v>
      </c>
      <c r="J16" s="27">
        <v>0.03</v>
      </c>
    </row>
    <row r="17" spans="2:10">
      <c r="B17" s="160" t="s">
        <v>54</v>
      </c>
      <c r="C17" s="137" t="s">
        <v>1</v>
      </c>
      <c r="D17" s="158">
        <f t="shared" ref="D17:D19" si="3">D12</f>
        <v>0.72222222222222221</v>
      </c>
      <c r="E17" s="27">
        <v>0.74</v>
      </c>
      <c r="F17" s="27">
        <v>0.74</v>
      </c>
      <c r="G17" s="27">
        <v>0.74</v>
      </c>
      <c r="H17" s="27">
        <v>0.74</v>
      </c>
      <c r="I17" s="27">
        <v>0.74</v>
      </c>
      <c r="J17" s="27">
        <v>0.74</v>
      </c>
    </row>
    <row r="18" spans="2:10">
      <c r="B18" s="160" t="s">
        <v>60</v>
      </c>
      <c r="C18" s="137" t="s">
        <v>111</v>
      </c>
      <c r="D18" s="139">
        <f t="shared" si="3"/>
        <v>8000</v>
      </c>
      <c r="E18" s="6">
        <v>13000</v>
      </c>
      <c r="F18" s="6">
        <v>13000</v>
      </c>
      <c r="G18" s="6">
        <v>13000</v>
      </c>
      <c r="H18" s="6">
        <v>13000</v>
      </c>
      <c r="I18" s="6">
        <v>13000</v>
      </c>
      <c r="J18" s="6">
        <v>13000</v>
      </c>
    </row>
    <row r="19" spans="2:10">
      <c r="B19" s="160" t="s">
        <v>61</v>
      </c>
      <c r="C19" s="137" t="s">
        <v>1</v>
      </c>
      <c r="D19" s="158">
        <f t="shared" si="3"/>
        <v>5.5555555555555552E-2</v>
      </c>
      <c r="E19" s="27">
        <v>0.05</v>
      </c>
      <c r="F19" s="27">
        <v>0.05</v>
      </c>
      <c r="G19" s="27">
        <v>0.05</v>
      </c>
      <c r="H19" s="27">
        <v>0.05</v>
      </c>
      <c r="I19" s="27">
        <v>0.05</v>
      </c>
      <c r="J19" s="27">
        <v>0.05</v>
      </c>
    </row>
    <row r="20" spans="2:10">
      <c r="B20" s="159" t="s">
        <v>141</v>
      </c>
      <c r="C20" s="25"/>
      <c r="D20" s="26"/>
      <c r="E20" s="26"/>
      <c r="F20" s="26"/>
      <c r="G20" s="26"/>
      <c r="H20" s="26"/>
      <c r="I20" s="26"/>
      <c r="J20" s="26"/>
    </row>
    <row r="21" spans="2:10">
      <c r="B21" s="160" t="s">
        <v>59</v>
      </c>
      <c r="C21" s="137" t="s">
        <v>1</v>
      </c>
      <c r="D21" s="158" t="str">
        <f>D16</f>
        <v>-</v>
      </c>
      <c r="E21" s="27">
        <v>0.03</v>
      </c>
      <c r="F21" s="27">
        <v>0.03</v>
      </c>
      <c r="G21" s="27">
        <v>0.03</v>
      </c>
      <c r="H21" s="27">
        <v>0.03</v>
      </c>
      <c r="I21" s="27">
        <v>0.03</v>
      </c>
      <c r="J21" s="27">
        <v>0.03</v>
      </c>
    </row>
    <row r="22" spans="2:10">
      <c r="B22" s="160" t="s">
        <v>54</v>
      </c>
      <c r="C22" s="137" t="s">
        <v>1</v>
      </c>
      <c r="D22" s="158">
        <f t="shared" ref="D22:D24" si="4">D17</f>
        <v>0.72222222222222221</v>
      </c>
      <c r="E22" s="27">
        <v>0.74</v>
      </c>
      <c r="F22" s="27">
        <v>0.74</v>
      </c>
      <c r="G22" s="27">
        <v>0.74</v>
      </c>
      <c r="H22" s="27">
        <v>0.74</v>
      </c>
      <c r="I22" s="27">
        <v>0.74</v>
      </c>
      <c r="J22" s="27">
        <v>0.74</v>
      </c>
    </row>
    <row r="23" spans="2:10">
      <c r="B23" s="160" t="s">
        <v>60</v>
      </c>
      <c r="C23" s="137" t="s">
        <v>111</v>
      </c>
      <c r="D23" s="139">
        <f t="shared" si="4"/>
        <v>8000</v>
      </c>
      <c r="E23" s="6">
        <v>13000</v>
      </c>
      <c r="F23" s="6">
        <v>13000</v>
      </c>
      <c r="G23" s="6">
        <v>13000</v>
      </c>
      <c r="H23" s="6">
        <v>13000</v>
      </c>
      <c r="I23" s="6">
        <v>13000</v>
      </c>
      <c r="J23" s="6">
        <v>13000</v>
      </c>
    </row>
    <row r="24" spans="2:10">
      <c r="B24" s="160" t="s">
        <v>61</v>
      </c>
      <c r="C24" s="137" t="s">
        <v>1</v>
      </c>
      <c r="D24" s="158">
        <f t="shared" si="4"/>
        <v>5.5555555555555552E-2</v>
      </c>
      <c r="E24" s="27">
        <v>0.05</v>
      </c>
      <c r="F24" s="27">
        <v>0.05</v>
      </c>
      <c r="G24" s="27">
        <v>0.05</v>
      </c>
      <c r="H24" s="27">
        <v>0.05</v>
      </c>
      <c r="I24" s="27">
        <v>0.05</v>
      </c>
      <c r="J24" s="27">
        <v>0.05</v>
      </c>
    </row>
    <row r="25" spans="2:10">
      <c r="B25" s="4"/>
      <c r="C25" s="5"/>
      <c r="D25" s="4"/>
      <c r="E25" s="4"/>
      <c r="F25" s="4"/>
      <c r="G25" s="4"/>
      <c r="H25" s="4"/>
      <c r="I25" s="4"/>
      <c r="J25" s="4"/>
    </row>
    <row r="26" spans="2:10">
      <c r="B26" s="161" t="s">
        <v>126</v>
      </c>
      <c r="C26" s="162"/>
      <c r="D26" s="163"/>
      <c r="E26" s="163"/>
      <c r="F26" s="163"/>
      <c r="G26" s="163"/>
      <c r="H26" s="163"/>
      <c r="I26" s="163"/>
      <c r="J26" s="163"/>
    </row>
    <row r="27" spans="2:10">
      <c r="B27" s="159" t="s">
        <v>139</v>
      </c>
      <c r="C27" s="25"/>
      <c r="D27" s="26"/>
      <c r="E27" s="26"/>
      <c r="F27" s="26"/>
      <c r="G27" s="26"/>
      <c r="H27" s="26"/>
      <c r="I27" s="26"/>
      <c r="J27" s="26"/>
    </row>
    <row r="28" spans="2:10">
      <c r="B28" s="160" t="s">
        <v>128</v>
      </c>
      <c r="C28" s="137" t="s">
        <v>127</v>
      </c>
      <c r="D28" s="139">
        <f>(FS!E49/FS!E11)*FS!E4</f>
        <v>60.833333333333329</v>
      </c>
      <c r="E28" s="6">
        <v>55</v>
      </c>
      <c r="F28" s="6">
        <v>55</v>
      </c>
      <c r="G28" s="6">
        <v>55</v>
      </c>
      <c r="H28" s="6">
        <v>55</v>
      </c>
      <c r="I28" s="6">
        <v>55</v>
      </c>
      <c r="J28" s="6">
        <v>55</v>
      </c>
    </row>
    <row r="29" spans="2:10">
      <c r="B29" s="160" t="s">
        <v>129</v>
      </c>
      <c r="C29" s="137" t="s">
        <v>127</v>
      </c>
      <c r="D29" s="139">
        <f>-(FS!E58/(FS!E12+FS!E16+FS!E20-FS!E24))*FS!E4</f>
        <v>228.125</v>
      </c>
      <c r="E29" s="6">
        <v>230</v>
      </c>
      <c r="F29" s="6">
        <v>230</v>
      </c>
      <c r="G29" s="6">
        <v>230</v>
      </c>
      <c r="H29" s="6">
        <v>230</v>
      </c>
      <c r="I29" s="6">
        <v>230</v>
      </c>
      <c r="J29" s="6">
        <v>230</v>
      </c>
    </row>
    <row r="30" spans="2:10">
      <c r="B30" s="160" t="s">
        <v>18</v>
      </c>
      <c r="C30" s="137" t="s">
        <v>127</v>
      </c>
      <c r="D30" s="139">
        <f>-(FS!E48/FS!E12)*FS!E4</f>
        <v>277.39999999999998</v>
      </c>
      <c r="E30" s="6">
        <v>240</v>
      </c>
      <c r="F30" s="6">
        <v>240</v>
      </c>
      <c r="G30" s="6">
        <v>240</v>
      </c>
      <c r="H30" s="6">
        <v>240</v>
      </c>
      <c r="I30" s="6">
        <v>240</v>
      </c>
      <c r="J30" s="6">
        <v>240</v>
      </c>
    </row>
    <row r="31" spans="2:10">
      <c r="B31" s="159" t="s">
        <v>142</v>
      </c>
      <c r="C31" s="25"/>
      <c r="D31" s="26"/>
      <c r="E31" s="26"/>
      <c r="F31" s="26"/>
      <c r="G31" s="26"/>
      <c r="H31" s="26"/>
      <c r="I31" s="26"/>
      <c r="J31" s="26"/>
    </row>
    <row r="32" spans="2:10">
      <c r="B32" s="160" t="s">
        <v>128</v>
      </c>
      <c r="C32" s="137" t="s">
        <v>127</v>
      </c>
      <c r="D32" s="139">
        <f>D28</f>
        <v>60.833333333333329</v>
      </c>
      <c r="E32" s="6">
        <v>55</v>
      </c>
      <c r="F32" s="6">
        <v>55</v>
      </c>
      <c r="G32" s="6">
        <v>55</v>
      </c>
      <c r="H32" s="6">
        <v>55</v>
      </c>
      <c r="I32" s="6">
        <v>55</v>
      </c>
      <c r="J32" s="6">
        <v>55</v>
      </c>
    </row>
    <row r="33" spans="2:10">
      <c r="B33" s="160" t="s">
        <v>129</v>
      </c>
      <c r="C33" s="137" t="s">
        <v>127</v>
      </c>
      <c r="D33" s="139">
        <f t="shared" ref="D33:D34" si="5">D29</f>
        <v>228.125</v>
      </c>
      <c r="E33" s="6">
        <v>230</v>
      </c>
      <c r="F33" s="6">
        <v>230</v>
      </c>
      <c r="G33" s="6">
        <v>230</v>
      </c>
      <c r="H33" s="6">
        <v>230</v>
      </c>
      <c r="I33" s="6">
        <v>230</v>
      </c>
      <c r="J33" s="6">
        <v>230</v>
      </c>
    </row>
    <row r="34" spans="2:10">
      <c r="B34" s="160" t="s">
        <v>18</v>
      </c>
      <c r="C34" s="137" t="s">
        <v>127</v>
      </c>
      <c r="D34" s="139">
        <f t="shared" si="5"/>
        <v>277.39999999999998</v>
      </c>
      <c r="E34" s="6">
        <v>240</v>
      </c>
      <c r="F34" s="6">
        <v>240</v>
      </c>
      <c r="G34" s="6">
        <v>240</v>
      </c>
      <c r="H34" s="6">
        <v>240</v>
      </c>
      <c r="I34" s="6">
        <v>240</v>
      </c>
      <c r="J34" s="6">
        <v>240</v>
      </c>
    </row>
    <row r="35" spans="2:10">
      <c r="B35" s="159" t="s">
        <v>141</v>
      </c>
      <c r="C35" s="25"/>
      <c r="D35" s="26"/>
      <c r="E35" s="26"/>
      <c r="F35" s="26"/>
      <c r="G35" s="26"/>
      <c r="H35" s="26"/>
      <c r="I35" s="26"/>
      <c r="J35" s="26"/>
    </row>
    <row r="36" spans="2:10">
      <c r="B36" s="160" t="s">
        <v>128</v>
      </c>
      <c r="C36" s="137" t="s">
        <v>127</v>
      </c>
      <c r="D36" s="139">
        <f>D32</f>
        <v>60.833333333333329</v>
      </c>
      <c r="E36" s="6">
        <v>55</v>
      </c>
      <c r="F36" s="6">
        <v>55</v>
      </c>
      <c r="G36" s="6">
        <v>55</v>
      </c>
      <c r="H36" s="6">
        <v>55</v>
      </c>
      <c r="I36" s="6">
        <v>55</v>
      </c>
      <c r="J36" s="6">
        <v>55</v>
      </c>
    </row>
    <row r="37" spans="2:10">
      <c r="B37" s="160" t="s">
        <v>129</v>
      </c>
      <c r="C37" s="137" t="s">
        <v>127</v>
      </c>
      <c r="D37" s="139">
        <f t="shared" ref="D37:D38" si="6">D33</f>
        <v>228.125</v>
      </c>
      <c r="E37" s="6">
        <v>230</v>
      </c>
      <c r="F37" s="6">
        <v>230</v>
      </c>
      <c r="G37" s="6">
        <v>230</v>
      </c>
      <c r="H37" s="6">
        <v>230</v>
      </c>
      <c r="I37" s="6">
        <v>230</v>
      </c>
      <c r="J37" s="6">
        <v>230</v>
      </c>
    </row>
    <row r="38" spans="2:10">
      <c r="B38" s="160" t="s">
        <v>18</v>
      </c>
      <c r="C38" s="137" t="s">
        <v>127</v>
      </c>
      <c r="D38" s="139">
        <f t="shared" si="6"/>
        <v>277.39999999999998</v>
      </c>
      <c r="E38" s="6">
        <v>240</v>
      </c>
      <c r="F38" s="6">
        <v>240</v>
      </c>
      <c r="G38" s="6">
        <v>240</v>
      </c>
      <c r="H38" s="6">
        <v>240</v>
      </c>
      <c r="I38" s="6">
        <v>240</v>
      </c>
      <c r="J38" s="6">
        <v>240</v>
      </c>
    </row>
    <row r="39" spans="2:10">
      <c r="B39" s="4"/>
      <c r="C39" s="5"/>
      <c r="D39" s="4"/>
      <c r="E39" s="4"/>
      <c r="F39" s="4"/>
      <c r="G39" s="4"/>
      <c r="H39" s="4"/>
      <c r="I39" s="4"/>
      <c r="J39" s="4"/>
    </row>
    <row r="40" spans="2:10">
      <c r="B40" s="24" t="s">
        <v>130</v>
      </c>
      <c r="C40" s="25"/>
      <c r="D40" s="26"/>
      <c r="E40" s="26"/>
      <c r="F40" s="26"/>
      <c r="G40" s="26"/>
      <c r="H40" s="26"/>
      <c r="I40" s="26"/>
      <c r="J40" s="26"/>
    </row>
    <row r="41" spans="2:10">
      <c r="B41" s="138" t="s">
        <v>23</v>
      </c>
      <c r="C41" s="137" t="s">
        <v>111</v>
      </c>
      <c r="D41" s="139" t="s">
        <v>138</v>
      </c>
      <c r="E41" s="6">
        <v>5000</v>
      </c>
      <c r="F41" s="6">
        <v>1000</v>
      </c>
      <c r="G41" s="6">
        <v>1000</v>
      </c>
      <c r="H41" s="6">
        <v>1000</v>
      </c>
      <c r="I41" s="6">
        <v>1000</v>
      </c>
      <c r="J41" s="6">
        <v>1000</v>
      </c>
    </row>
    <row r="42" spans="2:10">
      <c r="B42" s="138" t="s">
        <v>85</v>
      </c>
      <c r="C42" s="137" t="s">
        <v>111</v>
      </c>
      <c r="D42" s="139" t="s">
        <v>138</v>
      </c>
      <c r="E42" s="6">
        <v>15</v>
      </c>
      <c r="F42" s="6">
        <v>15</v>
      </c>
      <c r="G42" s="6">
        <v>15</v>
      </c>
      <c r="H42" s="6">
        <v>15</v>
      </c>
      <c r="I42" s="6">
        <v>15</v>
      </c>
      <c r="J42" s="6">
        <v>15</v>
      </c>
    </row>
    <row r="43" spans="2:10">
      <c r="B43" s="4"/>
      <c r="C43" s="5"/>
      <c r="D43" s="4"/>
      <c r="E43" s="4"/>
      <c r="F43" s="4"/>
      <c r="G43" s="4"/>
      <c r="H43" s="4"/>
      <c r="I43" s="4"/>
      <c r="J43" s="4"/>
    </row>
    <row r="44" spans="2:10">
      <c r="B44" s="24" t="s">
        <v>82</v>
      </c>
      <c r="C44" s="25"/>
      <c r="D44" s="26"/>
      <c r="E44" s="26"/>
      <c r="F44" s="26"/>
      <c r="G44" s="26"/>
      <c r="H44" s="26"/>
      <c r="I44" s="26"/>
      <c r="J44" s="26"/>
    </row>
    <row r="45" spans="2:10">
      <c r="B45" s="138" t="s">
        <v>83</v>
      </c>
      <c r="C45" s="137" t="s">
        <v>1</v>
      </c>
      <c r="D45" s="139" t="s">
        <v>138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</row>
    <row r="46" spans="2:10">
      <c r="B46" s="4"/>
      <c r="C46" s="5"/>
      <c r="D46" s="4"/>
      <c r="E46" s="4"/>
      <c r="F46" s="4"/>
      <c r="G46" s="4"/>
      <c r="H46" s="4"/>
      <c r="I46" s="4"/>
      <c r="J46" s="4"/>
    </row>
    <row r="47" spans="2:10">
      <c r="B47" s="24" t="s">
        <v>131</v>
      </c>
      <c r="C47" s="25"/>
      <c r="D47" s="26"/>
      <c r="E47" s="26"/>
      <c r="F47" s="26"/>
      <c r="G47" s="26"/>
      <c r="H47" s="26"/>
      <c r="I47" s="26"/>
      <c r="J47" s="26"/>
    </row>
    <row r="48" spans="2:10">
      <c r="B48" s="138" t="s">
        <v>132</v>
      </c>
      <c r="C48" s="137" t="s">
        <v>1</v>
      </c>
      <c r="D48" s="158">
        <f>FS!E37</f>
        <v>0.29615384615384616</v>
      </c>
      <c r="E48" s="27">
        <v>0.3</v>
      </c>
      <c r="F48" s="27">
        <v>0.3</v>
      </c>
      <c r="G48" s="27">
        <v>0.3</v>
      </c>
      <c r="H48" s="27">
        <v>0.3</v>
      </c>
      <c r="I48" s="27">
        <v>0.3</v>
      </c>
      <c r="J48" s="27">
        <v>0.3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3FA43-5276-1041-A6D3-B8DB107525C4}">
  <sheetPr>
    <tabColor theme="9" tint="0.59999389629810485"/>
  </sheetPr>
  <dimension ref="B3:R49"/>
  <sheetViews>
    <sheetView showGridLines="0" zoomScale="103" workbookViewId="0">
      <selection activeCell="G29" sqref="G29"/>
    </sheetView>
  </sheetViews>
  <sheetFormatPr baseColWidth="10" defaultRowHeight="14"/>
  <cols>
    <col min="1" max="1" width="3" style="113" customWidth="1"/>
    <col min="2" max="2" width="16.140625" style="113" customWidth="1"/>
    <col min="3" max="4" width="4.28515625" style="113" customWidth="1"/>
    <col min="5" max="5" width="9" style="113" bestFit="1" customWidth="1"/>
    <col min="6" max="8" width="8.28515625" style="113" bestFit="1" customWidth="1"/>
    <col min="9" max="9" width="8.42578125" style="113" bestFit="1" customWidth="1"/>
    <col min="10" max="10" width="8.5703125" style="113" bestFit="1" customWidth="1"/>
    <col min="11" max="17" width="10.7109375" style="113"/>
    <col min="18" max="18" width="5.140625" style="113" customWidth="1"/>
    <col min="19" max="16384" width="10.7109375" style="113"/>
  </cols>
  <sheetData>
    <row r="3" spans="2:11">
      <c r="B3" s="109" t="s">
        <v>12</v>
      </c>
      <c r="C3" s="109"/>
      <c r="D3" s="110"/>
      <c r="E3" s="111">
        <v>2026</v>
      </c>
      <c r="F3" s="112">
        <f>E3+1</f>
        <v>2027</v>
      </c>
      <c r="G3" s="112">
        <f t="shared" ref="G3:J3" si="0">F3+1</f>
        <v>2028</v>
      </c>
      <c r="H3" s="112">
        <f t="shared" si="0"/>
        <v>2029</v>
      </c>
      <c r="I3" s="112">
        <f t="shared" si="0"/>
        <v>2030</v>
      </c>
      <c r="J3" s="112">
        <f t="shared" si="0"/>
        <v>2031</v>
      </c>
    </row>
    <row r="4" spans="2:11">
      <c r="B4" s="109" t="s">
        <v>16</v>
      </c>
      <c r="C4" s="109"/>
      <c r="D4" s="110"/>
      <c r="E4" s="111" t="s">
        <v>65</v>
      </c>
      <c r="F4" s="112" t="s">
        <v>47</v>
      </c>
      <c r="G4" s="112" t="s">
        <v>47</v>
      </c>
      <c r="H4" s="112" t="s">
        <v>47</v>
      </c>
      <c r="I4" s="112" t="s">
        <v>47</v>
      </c>
      <c r="J4" s="112" t="s">
        <v>47</v>
      </c>
    </row>
    <row r="5" spans="2:11">
      <c r="B5" s="109" t="s">
        <v>31</v>
      </c>
      <c r="C5" s="109"/>
      <c r="D5" s="110"/>
      <c r="E5" s="111">
        <f>E8-E6+1</f>
        <v>365</v>
      </c>
      <c r="F5" s="112">
        <f t="shared" ref="F5:J5" si="1">F8-F6+1</f>
        <v>365</v>
      </c>
      <c r="G5" s="112">
        <f t="shared" si="1"/>
        <v>366</v>
      </c>
      <c r="H5" s="112">
        <f t="shared" si="1"/>
        <v>365</v>
      </c>
      <c r="I5" s="112">
        <f t="shared" si="1"/>
        <v>365</v>
      </c>
      <c r="J5" s="112">
        <f t="shared" si="1"/>
        <v>365</v>
      </c>
    </row>
    <row r="6" spans="2:11">
      <c r="B6" s="109" t="s">
        <v>64</v>
      </c>
      <c r="C6" s="109"/>
      <c r="D6" s="110"/>
      <c r="E6" s="114">
        <v>46023</v>
      </c>
      <c r="F6" s="115">
        <f>E8+1</f>
        <v>46388</v>
      </c>
      <c r="G6" s="115">
        <f>F8+1</f>
        <v>46753</v>
      </c>
      <c r="H6" s="115">
        <f>G8+1</f>
        <v>47119</v>
      </c>
      <c r="I6" s="115">
        <f t="shared" ref="I6:J6" si="2">H8+1</f>
        <v>47484</v>
      </c>
      <c r="J6" s="115">
        <f t="shared" si="2"/>
        <v>47849</v>
      </c>
    </row>
    <row r="7" spans="2:11">
      <c r="B7" s="109"/>
      <c r="C7" s="109"/>
      <c r="D7" s="110"/>
      <c r="E7" s="114" t="s">
        <v>87</v>
      </c>
      <c r="F7" s="115" t="s">
        <v>88</v>
      </c>
      <c r="G7" s="115" t="s">
        <v>88</v>
      </c>
      <c r="H7" s="115" t="s">
        <v>88</v>
      </c>
      <c r="I7" s="115" t="s">
        <v>88</v>
      </c>
      <c r="J7" s="115" t="s">
        <v>88</v>
      </c>
    </row>
    <row r="8" spans="2:11">
      <c r="B8" s="109" t="s">
        <v>13</v>
      </c>
      <c r="C8" s="109"/>
      <c r="D8" s="110"/>
      <c r="E8" s="114">
        <v>46387</v>
      </c>
      <c r="F8" s="115">
        <v>46752</v>
      </c>
      <c r="G8" s="115">
        <v>47118</v>
      </c>
      <c r="H8" s="115">
        <v>47483</v>
      </c>
      <c r="I8" s="115">
        <v>47848</v>
      </c>
      <c r="J8" s="115">
        <v>48213</v>
      </c>
    </row>
    <row r="10" spans="2:11">
      <c r="B10" s="122" t="s">
        <v>125</v>
      </c>
    </row>
    <row r="11" spans="2:11" ht="15" customHeight="1">
      <c r="B11" s="123" t="s">
        <v>7</v>
      </c>
      <c r="C11" s="54" t="s">
        <v>111</v>
      </c>
      <c r="E11" s="116">
        <f>FS!E26</f>
        <v>54000</v>
      </c>
      <c r="J11" s="116">
        <f>FS!K26</f>
        <v>64924.253347363352</v>
      </c>
    </row>
    <row r="12" spans="2:11" ht="15" customHeight="1">
      <c r="B12" s="123" t="s">
        <v>32</v>
      </c>
      <c r="C12" s="54" t="s">
        <v>111</v>
      </c>
      <c r="E12" s="116">
        <f>Transaction!D6</f>
        <v>5</v>
      </c>
      <c r="J12" s="136">
        <v>8</v>
      </c>
    </row>
    <row r="13" spans="2:11" ht="15" hidden="1" customHeight="1">
      <c r="B13" s="123"/>
      <c r="C13" s="54"/>
      <c r="E13" s="116"/>
      <c r="J13" s="157">
        <f>J12*(1+R41)</f>
        <v>8</v>
      </c>
    </row>
    <row r="14" spans="2:11" ht="15" customHeight="1">
      <c r="B14" s="133" t="s">
        <v>118</v>
      </c>
      <c r="C14" s="54" t="s">
        <v>111</v>
      </c>
      <c r="E14" s="120">
        <f>E11*E12</f>
        <v>270000</v>
      </c>
      <c r="F14" s="121"/>
      <c r="G14" s="121"/>
      <c r="H14" s="121"/>
      <c r="I14" s="121"/>
      <c r="J14" s="120">
        <f>J11*J13</f>
        <v>519394.02677890682</v>
      </c>
      <c r="K14" s="121"/>
    </row>
    <row r="15" spans="2:11" ht="15" customHeight="1">
      <c r="B15" s="124" t="s">
        <v>119</v>
      </c>
      <c r="C15" s="54" t="s">
        <v>111</v>
      </c>
      <c r="E15" s="116">
        <f>-Transaction!D8</f>
        <v>0</v>
      </c>
      <c r="J15" s="116">
        <f>-FS!K56+FS!K50</f>
        <v>-62121.254100095292</v>
      </c>
    </row>
    <row r="16" spans="2:11" ht="15" customHeight="1">
      <c r="B16" s="132" t="s">
        <v>120</v>
      </c>
      <c r="C16" s="54" t="s">
        <v>111</v>
      </c>
      <c r="E16" s="120">
        <f>E14+E15</f>
        <v>270000</v>
      </c>
      <c r="F16" s="121"/>
      <c r="G16" s="121"/>
      <c r="H16" s="121"/>
      <c r="I16" s="121"/>
      <c r="J16" s="120">
        <f>J14+J15</f>
        <v>457272.77267881151</v>
      </c>
    </row>
    <row r="17" spans="2:11" ht="15" customHeight="1">
      <c r="B17" s="134" t="s">
        <v>44</v>
      </c>
      <c r="C17" s="144" t="s">
        <v>1</v>
      </c>
      <c r="E17" s="135">
        <v>1</v>
      </c>
      <c r="F17" s="135"/>
      <c r="G17" s="135"/>
      <c r="H17" s="135"/>
      <c r="I17" s="135"/>
      <c r="J17" s="135">
        <v>1</v>
      </c>
    </row>
    <row r="18" spans="2:11" ht="15" customHeight="1">
      <c r="B18" s="117"/>
      <c r="C18" s="144"/>
      <c r="E18" s="118"/>
      <c r="J18" s="116"/>
    </row>
    <row r="19" spans="2:11" ht="15" customHeight="1">
      <c r="B19" s="122" t="s">
        <v>124</v>
      </c>
      <c r="C19" s="144"/>
    </row>
    <row r="20" spans="2:11" ht="15" customHeight="1">
      <c r="B20" s="123" t="s">
        <v>117</v>
      </c>
      <c r="C20" s="54" t="s">
        <v>111</v>
      </c>
      <c r="E20" s="116">
        <f>-E16*E17*Transaction!D19</f>
        <v>-53999.999999999985</v>
      </c>
    </row>
    <row r="21" spans="2:11" ht="15" customHeight="1">
      <c r="B21" s="123" t="s">
        <v>121</v>
      </c>
      <c r="C21" s="54" t="s">
        <v>111</v>
      </c>
      <c r="J21" s="116">
        <f>J17*J16</f>
        <v>457272.77267881151</v>
      </c>
    </row>
    <row r="22" spans="2:11" ht="15" customHeight="1">
      <c r="B22" s="123" t="s">
        <v>82</v>
      </c>
      <c r="C22" s="54" t="s">
        <v>111</v>
      </c>
      <c r="F22" s="116">
        <f>-FS!G75</f>
        <v>0</v>
      </c>
      <c r="G22" s="116">
        <f>-FS!H75</f>
        <v>0</v>
      </c>
      <c r="H22" s="116">
        <f>-FS!I75</f>
        <v>0</v>
      </c>
      <c r="I22" s="116">
        <f>-FS!J75</f>
        <v>0</v>
      </c>
      <c r="J22" s="116">
        <f>-FS!K75</f>
        <v>0</v>
      </c>
      <c r="K22" s="116"/>
    </row>
    <row r="23" spans="2:11" ht="15" customHeight="1">
      <c r="B23" s="128" t="s">
        <v>122</v>
      </c>
      <c r="C23" s="167"/>
      <c r="D23" s="129"/>
      <c r="E23" s="130">
        <f>SUM(E20:E22)</f>
        <v>-53999.999999999985</v>
      </c>
      <c r="F23" s="130">
        <f t="shared" ref="F23:I23" si="3">SUM(F20:F22)</f>
        <v>0</v>
      </c>
      <c r="G23" s="130">
        <f t="shared" si="3"/>
        <v>0</v>
      </c>
      <c r="H23" s="130">
        <f t="shared" si="3"/>
        <v>0</v>
      </c>
      <c r="I23" s="130">
        <f t="shared" si="3"/>
        <v>0</v>
      </c>
      <c r="J23" s="131">
        <f>SUM(J20:J22)</f>
        <v>457272.77267881151</v>
      </c>
    </row>
    <row r="24" spans="2:11" ht="15" customHeight="1">
      <c r="B24" s="125" t="s">
        <v>123</v>
      </c>
      <c r="C24" s="168" t="s">
        <v>1</v>
      </c>
      <c r="D24" s="126"/>
      <c r="E24" s="127">
        <f>IRR(E23:J23)</f>
        <v>0.53304998997678443</v>
      </c>
    </row>
    <row r="25" spans="2:11" ht="15" customHeight="1">
      <c r="B25" s="119" t="s">
        <v>143</v>
      </c>
      <c r="C25" s="144"/>
      <c r="J25" s="179">
        <f>J23/-E23</f>
        <v>8.4680143088668824</v>
      </c>
    </row>
    <row r="26" spans="2:11">
      <c r="B26" s="119"/>
      <c r="C26" s="144"/>
    </row>
    <row r="27" spans="2:11">
      <c r="B27" s="119"/>
      <c r="C27" s="54"/>
      <c r="F27" s="120"/>
      <c r="G27" s="120"/>
      <c r="H27" s="120"/>
      <c r="I27" s="120"/>
      <c r="J27" s="120"/>
    </row>
    <row r="28" spans="2:11">
      <c r="B28" s="166"/>
      <c r="C28" s="144"/>
      <c r="F28" s="165"/>
      <c r="G28" s="165"/>
      <c r="H28" s="165"/>
      <c r="I28" s="165"/>
      <c r="J28" s="165"/>
    </row>
    <row r="29" spans="2:11">
      <c r="B29" s="119"/>
    </row>
    <row r="30" spans="2:11">
      <c r="B30" s="119"/>
    </row>
    <row r="31" spans="2:11">
      <c r="B31" s="119"/>
    </row>
    <row r="32" spans="2:11">
      <c r="B32" s="119" t="s">
        <v>134</v>
      </c>
    </row>
    <row r="33" spans="2:18">
      <c r="B33" s="119"/>
    </row>
    <row r="34" spans="2:18">
      <c r="B34" s="147"/>
      <c r="C34" s="147"/>
      <c r="D34" s="147"/>
      <c r="E34" s="148"/>
      <c r="F34" s="147">
        <f>$K$34*(1+F35)</f>
        <v>3.75</v>
      </c>
      <c r="G34" s="147">
        <f>$K$34*(1+G35)</f>
        <v>4</v>
      </c>
      <c r="H34" s="147">
        <f>$K$34*(1+H35)</f>
        <v>4.25</v>
      </c>
      <c r="I34" s="147">
        <f>$K$34*(1+I35)</f>
        <v>4.5</v>
      </c>
      <c r="J34" s="147">
        <f>$K$34*(1+J35)</f>
        <v>4.75</v>
      </c>
      <c r="K34" s="153">
        <f>Transaction!D7</f>
        <v>5</v>
      </c>
      <c r="L34" s="147">
        <f>$K$34*(1+L35)</f>
        <v>5.25</v>
      </c>
      <c r="M34" s="147">
        <f>$K$34*(1+M35)</f>
        <v>5.5</v>
      </c>
      <c r="N34" s="147">
        <f>$K$34*(1+N35)</f>
        <v>5.75</v>
      </c>
      <c r="O34" s="147">
        <f>$K$34*(1+O35)</f>
        <v>6</v>
      </c>
      <c r="P34" s="147">
        <f>$K$34*(1+P35)</f>
        <v>6.25</v>
      </c>
      <c r="Q34" s="150" t="s">
        <v>135</v>
      </c>
      <c r="R34" s="145"/>
    </row>
    <row r="35" spans="2:18">
      <c r="B35" s="146"/>
      <c r="C35" s="146"/>
      <c r="D35" s="146"/>
      <c r="E35" s="146"/>
      <c r="F35" s="149">
        <v>-0.25</v>
      </c>
      <c r="G35" s="149">
        <v>-0.2</v>
      </c>
      <c r="H35" s="149">
        <v>-0.15</v>
      </c>
      <c r="I35" s="149">
        <v>-0.1</v>
      </c>
      <c r="J35" s="149">
        <v>-0.05</v>
      </c>
      <c r="K35" s="154">
        <v>0</v>
      </c>
      <c r="L35" s="149">
        <v>0.05</v>
      </c>
      <c r="M35" s="149">
        <v>0.1</v>
      </c>
      <c r="N35" s="149">
        <v>0.15</v>
      </c>
      <c r="O35" s="149">
        <v>0.2</v>
      </c>
      <c r="P35" s="149">
        <v>0.25</v>
      </c>
    </row>
    <row r="36" spans="2:18">
      <c r="B36" s="121" t="s">
        <v>123</v>
      </c>
      <c r="E36" s="152">
        <f>E24</f>
        <v>0.53304998997678443</v>
      </c>
      <c r="F36" s="151">
        <f t="dataTable" ref="F36:P36" dt2D="0" dtr="1" r1="R34" ca="1"/>
        <v>0.62384309890263934</v>
      </c>
      <c r="G36" s="151">
        <v>0.60301770561926826</v>
      </c>
      <c r="H36" s="151">
        <v>0.58369859524247247</v>
      </c>
      <c r="I36" s="151">
        <v>0.56569734363871227</v>
      </c>
      <c r="J36" s="151">
        <v>0.54885797258079072</v>
      </c>
      <c r="K36" s="155">
        <v>0.53304998997678443</v>
      </c>
      <c r="L36" s="151">
        <v>0.51816318891099056</v>
      </c>
      <c r="M36" s="151">
        <v>0.50410370003918836</v>
      </c>
      <c r="N36" s="151">
        <v>0.49079095311920273</v>
      </c>
      <c r="O36" s="151">
        <v>0.47815530859691902</v>
      </c>
      <c r="P36" s="151">
        <v>0.46613619021738972</v>
      </c>
    </row>
    <row r="39" spans="2:18">
      <c r="B39" s="119" t="s">
        <v>136</v>
      </c>
    </row>
    <row r="40" spans="2:18">
      <c r="B40" s="119"/>
    </row>
    <row r="41" spans="2:18">
      <c r="B41" s="147"/>
      <c r="C41" s="147"/>
      <c r="D41" s="147"/>
      <c r="E41" s="148"/>
      <c r="F41" s="147">
        <f t="shared" ref="F41:I41" si="4">$K$41*(1+F42)</f>
        <v>6</v>
      </c>
      <c r="G41" s="147">
        <f t="shared" si="4"/>
        <v>6.4</v>
      </c>
      <c r="H41" s="147">
        <f t="shared" si="4"/>
        <v>6.8</v>
      </c>
      <c r="I41" s="147">
        <f t="shared" si="4"/>
        <v>7.2</v>
      </c>
      <c r="J41" s="147">
        <f>$K$41*(1+J42)</f>
        <v>7.6</v>
      </c>
      <c r="K41" s="153">
        <f>J12</f>
        <v>8</v>
      </c>
      <c r="L41" s="147">
        <f>$K$41*(1+L42)</f>
        <v>8.4</v>
      </c>
      <c r="M41" s="147">
        <f t="shared" ref="M41:P41" si="5">$K$41*(1+M42)</f>
        <v>8.8000000000000007</v>
      </c>
      <c r="N41" s="147">
        <f t="shared" si="5"/>
        <v>9.1999999999999993</v>
      </c>
      <c r="O41" s="147">
        <f t="shared" si="5"/>
        <v>9.6</v>
      </c>
      <c r="P41" s="147">
        <f t="shared" si="5"/>
        <v>10</v>
      </c>
      <c r="Q41" s="150" t="s">
        <v>135</v>
      </c>
      <c r="R41" s="156"/>
    </row>
    <row r="42" spans="2:18">
      <c r="B42" s="146"/>
      <c r="C42" s="146"/>
      <c r="D42" s="146"/>
      <c r="E42" s="146"/>
      <c r="F42" s="149">
        <v>-0.25</v>
      </c>
      <c r="G42" s="149">
        <v>-0.2</v>
      </c>
      <c r="H42" s="149">
        <v>-0.15</v>
      </c>
      <c r="I42" s="149">
        <v>-0.1</v>
      </c>
      <c r="J42" s="149">
        <v>-0.05</v>
      </c>
      <c r="K42" s="154">
        <v>0</v>
      </c>
      <c r="L42" s="149">
        <v>0.05</v>
      </c>
      <c r="M42" s="149">
        <v>0.1</v>
      </c>
      <c r="N42" s="149">
        <v>0.15</v>
      </c>
      <c r="O42" s="149">
        <v>0.2</v>
      </c>
      <c r="P42" s="149">
        <v>0.25</v>
      </c>
    </row>
    <row r="43" spans="2:18">
      <c r="B43" s="121" t="s">
        <v>123</v>
      </c>
      <c r="E43" s="152">
        <f>E24</f>
        <v>0.53304998997678443</v>
      </c>
      <c r="F43" s="151">
        <f t="dataTable" ref="F43:P43" dt2D="0" dtr="1" r1="R41"/>
        <v>0.43398107762818894</v>
      </c>
      <c r="G43" s="151">
        <v>0.45603922339487957</v>
      </c>
      <c r="H43" s="151">
        <v>0.47683642499309564</v>
      </c>
      <c r="I43" s="151">
        <v>0.49652411665201179</v>
      </c>
      <c r="J43" s="151">
        <v>0.5152272013987107</v>
      </c>
      <c r="K43" s="155">
        <v>0.53304998997678443</v>
      </c>
      <c r="L43" s="151">
        <v>0.55008055344302398</v>
      </c>
      <c r="M43" s="151">
        <v>0.56639397457769114</v>
      </c>
      <c r="N43" s="151">
        <v>0.58205481796881009</v>
      </c>
      <c r="O43" s="151">
        <v>0.59711903487416595</v>
      </c>
      <c r="P43" s="151">
        <v>0.61163545206400971</v>
      </c>
    </row>
    <row r="45" spans="2:18">
      <c r="B45" s="119" t="s">
        <v>137</v>
      </c>
    </row>
    <row r="46" spans="2:18">
      <c r="B46" s="119"/>
    </row>
    <row r="47" spans="2:18">
      <c r="B47" s="147"/>
      <c r="C47" s="147"/>
      <c r="D47" s="147"/>
      <c r="E47" s="148"/>
      <c r="F47" s="147">
        <f>$K$47*(1+F48)</f>
        <v>3</v>
      </c>
      <c r="G47" s="147">
        <f t="shared" ref="G47:H47" si="6">$K$47*(1+G48)</f>
        <v>3.2</v>
      </c>
      <c r="H47" s="147">
        <f t="shared" si="6"/>
        <v>3.4</v>
      </c>
      <c r="I47" s="147">
        <f>$K$47*(1+I48)</f>
        <v>3.6</v>
      </c>
      <c r="J47" s="147">
        <f>$K$47*(1+J48)</f>
        <v>3.8</v>
      </c>
      <c r="K47" s="153">
        <f>Transaction!D17</f>
        <v>4</v>
      </c>
      <c r="L47" s="147">
        <f>$K$47*(1+L48)</f>
        <v>4.2</v>
      </c>
      <c r="M47" s="147">
        <f>$K$47*(1+M48)</f>
        <v>4.4000000000000004</v>
      </c>
      <c r="N47" s="147">
        <f t="shared" ref="N47:O47" si="7">$K$47*(1+N48)</f>
        <v>4.5999999999999996</v>
      </c>
      <c r="O47" s="147">
        <f t="shared" si="7"/>
        <v>4.8</v>
      </c>
      <c r="P47" s="147">
        <f>$K$47*(1+P48)</f>
        <v>4.96</v>
      </c>
      <c r="Q47" s="150" t="s">
        <v>135</v>
      </c>
      <c r="R47" s="156"/>
    </row>
    <row r="48" spans="2:18">
      <c r="B48" s="146"/>
      <c r="C48" s="146"/>
      <c r="D48" s="146"/>
      <c r="E48" s="146"/>
      <c r="F48" s="149">
        <v>-0.25</v>
      </c>
      <c r="G48" s="149">
        <v>-0.2</v>
      </c>
      <c r="H48" s="149">
        <v>-0.15</v>
      </c>
      <c r="I48" s="149">
        <v>-0.1</v>
      </c>
      <c r="J48" s="149">
        <v>-0.05</v>
      </c>
      <c r="K48" s="154">
        <v>0</v>
      </c>
      <c r="L48" s="149">
        <v>0.05</v>
      </c>
      <c r="M48" s="149">
        <v>0.1</v>
      </c>
      <c r="N48" s="149">
        <v>0.15</v>
      </c>
      <c r="O48" s="149">
        <v>0.2</v>
      </c>
      <c r="P48" s="149">
        <v>0.24</v>
      </c>
    </row>
    <row r="49" spans="2:16">
      <c r="B49" s="121" t="s">
        <v>123</v>
      </c>
      <c r="E49" s="152">
        <f>E24</f>
        <v>0.53304998997678443</v>
      </c>
      <c r="F49" s="151">
        <f t="dataTable" ref="F49:P49" dt2D="0" dtr="1" r1="R47" ca="1"/>
        <v>0.37381121632445802</v>
      </c>
      <c r="G49" s="151">
        <v>0.39548239323155876</v>
      </c>
      <c r="H49" s="151">
        <v>0.42080698062838917</v>
      </c>
      <c r="I49" s="151">
        <v>0.45092291278570973</v>
      </c>
      <c r="J49" s="151">
        <v>0.48750238244768429</v>
      </c>
      <c r="K49" s="155">
        <v>0.53304998997678443</v>
      </c>
      <c r="L49" s="151">
        <v>0.59255998519865938</v>
      </c>
      <c r="M49" s="151">
        <v>0.67550160023227357</v>
      </c>
      <c r="N49" s="151">
        <v>0.80435289900028506</v>
      </c>
      <c r="O49" s="151">
        <v>1.0576688139317847</v>
      </c>
      <c r="P49" s="151">
        <v>1.8220378616978969</v>
      </c>
    </row>
  </sheetData>
  <conditionalFormatting sqref="F36:P36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3:P4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9:P4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ignoredErrors>
    <ignoredError sqref="K34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763B8-3BD6-4B4E-A494-B2FA8A04D11E}">
  <sheetPr>
    <tabColor theme="9" tint="0.59999389629810485"/>
  </sheetPr>
  <dimension ref="B2:M30"/>
  <sheetViews>
    <sheetView showGridLines="0" zoomScale="130" zoomScaleNormal="130" workbookViewId="0">
      <selection activeCell="D25" activeCellId="1" sqref="B25:B27 D25:D27"/>
    </sheetView>
  </sheetViews>
  <sheetFormatPr baseColWidth="10" defaultRowHeight="15"/>
  <cols>
    <col min="1" max="1" width="3.5703125" customWidth="1"/>
    <col min="2" max="2" width="18.5703125" bestFit="1" customWidth="1"/>
    <col min="3" max="3" width="2.7109375" style="175" customWidth="1"/>
    <col min="5" max="5" width="9" customWidth="1"/>
  </cols>
  <sheetData>
    <row r="2" spans="2:13">
      <c r="M2" t="s">
        <v>146</v>
      </c>
    </row>
    <row r="3" spans="2:13">
      <c r="M3" s="174" t="s">
        <v>72</v>
      </c>
    </row>
    <row r="4" spans="2:13">
      <c r="B4" s="30" t="s">
        <v>45</v>
      </c>
      <c r="C4" s="176"/>
      <c r="D4" s="31"/>
      <c r="M4" s="174" t="s">
        <v>73</v>
      </c>
    </row>
    <row r="5" spans="2:13">
      <c r="B5" s="12" t="s">
        <v>41</v>
      </c>
      <c r="C5" s="177" t="s">
        <v>111</v>
      </c>
      <c r="D5" s="11">
        <f>FS!E26</f>
        <v>54000</v>
      </c>
    </row>
    <row r="6" spans="2:13" hidden="1">
      <c r="B6" s="12" t="s">
        <v>32</v>
      </c>
      <c r="C6" s="177"/>
      <c r="D6" s="23">
        <f>D7*(1+'IRR Waterfall'!R34)</f>
        <v>5</v>
      </c>
    </row>
    <row r="7" spans="2:13">
      <c r="B7" s="12" t="s">
        <v>32</v>
      </c>
      <c r="C7" s="177" t="s">
        <v>145</v>
      </c>
      <c r="D7" s="11">
        <v>5</v>
      </c>
    </row>
    <row r="8" spans="2:13">
      <c r="B8" s="12" t="s">
        <v>42</v>
      </c>
      <c r="C8" s="177" t="s">
        <v>111</v>
      </c>
      <c r="D8" s="11">
        <v>0</v>
      </c>
    </row>
    <row r="9" spans="2:13">
      <c r="B9" s="12"/>
      <c r="C9" s="177"/>
      <c r="D9" s="12"/>
    </row>
    <row r="10" spans="2:13">
      <c r="B10" s="12" t="s">
        <v>43</v>
      </c>
      <c r="C10" s="177" t="s">
        <v>1</v>
      </c>
      <c r="D10" s="17">
        <v>1</v>
      </c>
    </row>
    <row r="11" spans="2:13">
      <c r="B11" s="12"/>
      <c r="C11" s="177"/>
      <c r="D11" s="12"/>
    </row>
    <row r="12" spans="2:13">
      <c r="B12" s="170" t="s">
        <v>44</v>
      </c>
      <c r="C12" s="177" t="s">
        <v>111</v>
      </c>
      <c r="D12" s="169">
        <f>(D5*D7+D8)*D10</f>
        <v>270000</v>
      </c>
    </row>
    <row r="13" spans="2:13">
      <c r="B13" s="170" t="s">
        <v>89</v>
      </c>
      <c r="C13" s="177" t="s">
        <v>111</v>
      </c>
      <c r="D13" s="169">
        <f>FS!E53</f>
        <v>72000</v>
      </c>
    </row>
    <row r="14" spans="2:13">
      <c r="B14" s="170" t="s">
        <v>90</v>
      </c>
      <c r="C14" s="177" t="s">
        <v>111</v>
      </c>
      <c r="D14" s="169">
        <f>D12-D13</f>
        <v>198000</v>
      </c>
    </row>
    <row r="15" spans="2:13">
      <c r="B15" s="12"/>
      <c r="C15" s="177"/>
      <c r="D15" s="12"/>
    </row>
    <row r="16" spans="2:13">
      <c r="B16" s="30" t="s">
        <v>63</v>
      </c>
      <c r="C16" s="176"/>
      <c r="D16" s="31"/>
    </row>
    <row r="17" spans="2:9">
      <c r="B17" s="12" t="s">
        <v>133</v>
      </c>
      <c r="C17" s="177" t="s">
        <v>145</v>
      </c>
      <c r="D17" s="11">
        <v>4</v>
      </c>
    </row>
    <row r="18" spans="2:9" hidden="1">
      <c r="B18" s="12"/>
      <c r="C18" s="177"/>
      <c r="D18" s="33">
        <f>D17*(1+'IRR Waterfall'!R47)</f>
        <v>4</v>
      </c>
    </row>
    <row r="19" spans="2:9">
      <c r="B19" s="16" t="s">
        <v>36</v>
      </c>
      <c r="C19" s="177" t="s">
        <v>1</v>
      </c>
      <c r="D19" s="18">
        <f>1-D20</f>
        <v>0.19999999999999996</v>
      </c>
      <c r="E19" s="169">
        <f>D19*D12</f>
        <v>53999.999999999985</v>
      </c>
    </row>
    <row r="20" spans="2:9">
      <c r="B20" s="16" t="s">
        <v>40</v>
      </c>
      <c r="C20" s="177" t="s">
        <v>1</v>
      </c>
      <c r="D20" s="143">
        <f>(D18*D5)/D12</f>
        <v>0.8</v>
      </c>
      <c r="E20" s="169">
        <f>D20*D12</f>
        <v>216000</v>
      </c>
    </row>
    <row r="21" spans="2:9">
      <c r="B21" s="12"/>
      <c r="C21" s="177"/>
      <c r="D21" s="12"/>
    </row>
    <row r="22" spans="2:9">
      <c r="B22" s="12"/>
      <c r="C22" s="177"/>
      <c r="D22" s="12"/>
    </row>
    <row r="23" spans="2:9">
      <c r="B23" s="30" t="s">
        <v>68</v>
      </c>
      <c r="C23" s="176"/>
      <c r="D23" s="31"/>
      <c r="E23" s="31"/>
      <c r="F23" s="31"/>
      <c r="G23" s="31"/>
      <c r="H23" s="31"/>
      <c r="I23" s="31"/>
    </row>
    <row r="24" spans="2:9">
      <c r="B24" s="19"/>
      <c r="C24" s="178"/>
      <c r="D24" s="28" t="s">
        <v>69</v>
      </c>
      <c r="E24" s="28" t="s">
        <v>70</v>
      </c>
      <c r="F24" s="28" t="s">
        <v>74</v>
      </c>
      <c r="G24" s="28" t="s">
        <v>75</v>
      </c>
      <c r="H24" s="28" t="s">
        <v>76</v>
      </c>
      <c r="I24" s="28" t="s">
        <v>71</v>
      </c>
    </row>
    <row r="25" spans="2:9">
      <c r="B25" s="16" t="s">
        <v>66</v>
      </c>
      <c r="C25" s="177"/>
      <c r="D25" s="17">
        <v>0.4</v>
      </c>
      <c r="E25" s="11">
        <v>5</v>
      </c>
      <c r="F25" s="17">
        <f>1/E25</f>
        <v>0.2</v>
      </c>
      <c r="G25" s="17">
        <v>0.06</v>
      </c>
      <c r="H25" s="17">
        <v>0</v>
      </c>
      <c r="I25" s="29" t="s">
        <v>72</v>
      </c>
    </row>
    <row r="26" spans="2:9">
      <c r="B26" s="16" t="s">
        <v>67</v>
      </c>
      <c r="C26" s="177"/>
      <c r="D26" s="17">
        <v>0.35</v>
      </c>
      <c r="E26" s="11">
        <v>5</v>
      </c>
      <c r="F26" s="32">
        <v>0</v>
      </c>
      <c r="G26" s="17">
        <v>0.08</v>
      </c>
      <c r="H26" s="17">
        <v>0.05</v>
      </c>
      <c r="I26" s="29" t="s">
        <v>73</v>
      </c>
    </row>
    <row r="27" spans="2:9">
      <c r="B27" s="16" t="s">
        <v>77</v>
      </c>
      <c r="C27" s="177"/>
      <c r="D27" s="17">
        <v>0.25</v>
      </c>
      <c r="E27" s="11">
        <v>4</v>
      </c>
      <c r="F27" s="32">
        <v>0</v>
      </c>
      <c r="G27" s="17">
        <v>0</v>
      </c>
      <c r="H27" s="17">
        <v>0.16</v>
      </c>
      <c r="I27" s="29" t="s">
        <v>73</v>
      </c>
    </row>
    <row r="28" spans="2:9">
      <c r="B28" s="12"/>
      <c r="C28" s="177"/>
      <c r="D28" s="12"/>
    </row>
    <row r="29" spans="2:9">
      <c r="B29" s="12"/>
      <c r="C29" s="177"/>
      <c r="D29" s="12"/>
    </row>
    <row r="30" spans="2:9">
      <c r="B30" s="12"/>
      <c r="C30" s="177"/>
      <c r="D30" s="12"/>
    </row>
  </sheetData>
  <dataValidations disablePrompts="1" count="1">
    <dataValidation type="list" allowBlank="1" showInputMessage="1" showErrorMessage="1" sqref="I25:I27" xr:uid="{90F1A57A-F995-204B-9D19-855ABADD7B6D}">
      <formula1>$M$3:$M$4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9403A-80DE-4BCE-8189-463297A7BD22}">
  <sheetPr codeName="Sheet3">
    <tabColor theme="9" tint="0.59999389629810485"/>
  </sheetPr>
  <dimension ref="A1:N83"/>
  <sheetViews>
    <sheetView showGridLines="0" zoomScale="120" zoomScaleNormal="120" workbookViewId="0">
      <pane ySplit="7" topLeftCell="A52" activePane="bottomLeft" state="frozen"/>
      <selection activeCell="P20" sqref="P20"/>
      <selection pane="bottomLeft" activeCell="K96" sqref="K96"/>
    </sheetView>
  </sheetViews>
  <sheetFormatPr baseColWidth="10" defaultColWidth="8.7109375" defaultRowHeight="12" outlineLevelRow="1"/>
  <cols>
    <col min="1" max="1" width="2.85546875" style="70" customWidth="1"/>
    <col min="2" max="2" width="24.42578125" style="70" customWidth="1"/>
    <col min="3" max="3" width="3.28515625" style="70" customWidth="1"/>
    <col min="4" max="4" width="4.140625" style="70" bestFit="1" customWidth="1"/>
    <col min="5" max="5" width="7.42578125" style="70" bestFit="1" customWidth="1"/>
    <col min="6" max="6" width="7.5703125" style="70" customWidth="1"/>
    <col min="7" max="11" width="8.42578125" style="70" bestFit="1" customWidth="1"/>
    <col min="12" max="12" width="1.5703125" style="70" customWidth="1"/>
    <col min="13" max="16384" width="8.7109375" style="70"/>
  </cols>
  <sheetData>
    <row r="1" spans="1:12">
      <c r="A1" s="69"/>
      <c r="B1" s="69"/>
      <c r="C1" s="69"/>
      <c r="D1" s="100"/>
      <c r="E1" s="69"/>
      <c r="F1" s="69"/>
      <c r="G1" s="69"/>
      <c r="H1" s="69"/>
      <c r="I1" s="69"/>
      <c r="J1" s="69"/>
      <c r="K1" s="69"/>
      <c r="L1" s="69"/>
    </row>
    <row r="2" spans="1:12">
      <c r="A2" s="69"/>
      <c r="B2" s="71" t="s">
        <v>12</v>
      </c>
      <c r="C2" s="71"/>
      <c r="D2" s="101"/>
      <c r="E2" s="72">
        <v>2026</v>
      </c>
      <c r="F2" s="73"/>
      <c r="G2" s="74">
        <f>E2+1</f>
        <v>2027</v>
      </c>
      <c r="H2" s="74">
        <f t="shared" ref="H2:K2" si="0">G2+1</f>
        <v>2028</v>
      </c>
      <c r="I2" s="74">
        <f t="shared" si="0"/>
        <v>2029</v>
      </c>
      <c r="J2" s="74">
        <f t="shared" si="0"/>
        <v>2030</v>
      </c>
      <c r="K2" s="74">
        <f t="shared" si="0"/>
        <v>2031</v>
      </c>
      <c r="L2" s="69"/>
    </row>
    <row r="3" spans="1:12" outlineLevel="1">
      <c r="A3" s="69"/>
      <c r="B3" s="71" t="s">
        <v>16</v>
      </c>
      <c r="C3" s="71"/>
      <c r="D3" s="101"/>
      <c r="E3" s="72" t="s">
        <v>65</v>
      </c>
      <c r="F3" s="73"/>
      <c r="G3" s="74" t="s">
        <v>47</v>
      </c>
      <c r="H3" s="74" t="s">
        <v>47</v>
      </c>
      <c r="I3" s="74" t="s">
        <v>47</v>
      </c>
      <c r="J3" s="74" t="s">
        <v>47</v>
      </c>
      <c r="K3" s="74" t="s">
        <v>47</v>
      </c>
      <c r="L3" s="69"/>
    </row>
    <row r="4" spans="1:12" outlineLevel="1">
      <c r="A4" s="69"/>
      <c r="B4" s="71" t="s">
        <v>31</v>
      </c>
      <c r="C4" s="71"/>
      <c r="D4" s="101"/>
      <c r="E4" s="72">
        <f>E7-E5+1</f>
        <v>365</v>
      </c>
      <c r="F4" s="73"/>
      <c r="G4" s="74">
        <f t="shared" ref="G4:K4" si="1">G7-G5+1</f>
        <v>365</v>
      </c>
      <c r="H4" s="74">
        <f t="shared" si="1"/>
        <v>366</v>
      </c>
      <c r="I4" s="74">
        <f t="shared" si="1"/>
        <v>365</v>
      </c>
      <c r="J4" s="74">
        <f t="shared" si="1"/>
        <v>365</v>
      </c>
      <c r="K4" s="74">
        <f t="shared" si="1"/>
        <v>365</v>
      </c>
      <c r="L4" s="69"/>
    </row>
    <row r="5" spans="1:12" outlineLevel="1">
      <c r="A5" s="69"/>
      <c r="B5" s="71" t="s">
        <v>64</v>
      </c>
      <c r="C5" s="71"/>
      <c r="D5" s="101"/>
      <c r="E5" s="75">
        <v>46023</v>
      </c>
      <c r="F5" s="76">
        <v>46023</v>
      </c>
      <c r="G5" s="77">
        <f>E7+1</f>
        <v>46388</v>
      </c>
      <c r="H5" s="77">
        <f>G7+1</f>
        <v>46753</v>
      </c>
      <c r="I5" s="77">
        <f>H7+1</f>
        <v>47119</v>
      </c>
      <c r="J5" s="77">
        <f t="shared" ref="J5:K5" si="2">I7+1</f>
        <v>47484</v>
      </c>
      <c r="K5" s="77">
        <f t="shared" si="2"/>
        <v>47849</v>
      </c>
      <c r="L5" s="69"/>
    </row>
    <row r="6" spans="1:12" outlineLevel="1">
      <c r="A6" s="69"/>
      <c r="B6" s="71"/>
      <c r="C6" s="71"/>
      <c r="D6" s="101"/>
      <c r="E6" s="75" t="s">
        <v>87</v>
      </c>
      <c r="F6" s="76" t="s">
        <v>88</v>
      </c>
      <c r="G6" s="77"/>
      <c r="H6" s="77"/>
      <c r="I6" s="77"/>
      <c r="J6" s="77"/>
      <c r="K6" s="77"/>
      <c r="L6" s="69"/>
    </row>
    <row r="7" spans="1:12">
      <c r="A7" s="69"/>
      <c r="B7" s="71" t="s">
        <v>13</v>
      </c>
      <c r="C7" s="71"/>
      <c r="D7" s="101"/>
      <c r="E7" s="75">
        <v>46387</v>
      </c>
      <c r="F7" s="76"/>
      <c r="G7" s="77">
        <v>46752</v>
      </c>
      <c r="H7" s="77">
        <v>47118</v>
      </c>
      <c r="I7" s="77">
        <v>47483</v>
      </c>
      <c r="J7" s="77">
        <v>47848</v>
      </c>
      <c r="K7" s="77">
        <v>48213</v>
      </c>
      <c r="L7" s="69"/>
    </row>
    <row r="8" spans="1:12">
      <c r="A8" s="69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</row>
    <row r="9" spans="1:12" ht="24" customHeight="1">
      <c r="A9" s="69"/>
      <c r="B9" s="142" t="s">
        <v>49</v>
      </c>
      <c r="C9" s="140"/>
      <c r="D9" s="141"/>
      <c r="E9" s="141"/>
      <c r="F9" s="141"/>
      <c r="G9" s="141"/>
      <c r="H9" s="141"/>
      <c r="I9" s="141"/>
      <c r="J9" s="141"/>
      <c r="K9" s="141"/>
      <c r="L9" s="69"/>
    </row>
    <row r="10" spans="1:12">
      <c r="A10" s="69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</row>
    <row r="11" spans="1:12">
      <c r="A11" s="69"/>
      <c r="B11" s="78" t="s">
        <v>14</v>
      </c>
      <c r="C11" s="54" t="s">
        <v>111</v>
      </c>
      <c r="D11" s="102"/>
      <c r="E11" s="79">
        <v>90000</v>
      </c>
      <c r="F11" s="80"/>
      <c r="G11" s="79">
        <f>E11*(1+Inputs!E11)</f>
        <v>92700</v>
      </c>
      <c r="H11" s="79">
        <f>G11*(1+Inputs!F11)</f>
        <v>95481</v>
      </c>
      <c r="I11" s="79">
        <f>H11*(1+Inputs!G11)</f>
        <v>98345.430000000008</v>
      </c>
      <c r="J11" s="79">
        <f>I11*(1+Inputs!H11)</f>
        <v>101295.79290000001</v>
      </c>
      <c r="K11" s="79">
        <f>J11*(1+Inputs!I11)</f>
        <v>104334.66668700002</v>
      </c>
      <c r="L11" s="69"/>
    </row>
    <row r="12" spans="1:12">
      <c r="A12" s="69"/>
      <c r="B12" s="81" t="s">
        <v>53</v>
      </c>
      <c r="C12" s="54" t="s">
        <v>111</v>
      </c>
      <c r="D12" s="102"/>
      <c r="E12" s="82">
        <v>-25000</v>
      </c>
      <c r="F12" s="83"/>
      <c r="G12" s="82">
        <f>G13-G11</f>
        <v>-24102</v>
      </c>
      <c r="H12" s="82">
        <f t="shared" ref="H12:K12" si="3">H13-H11</f>
        <v>-24825.059999999998</v>
      </c>
      <c r="I12" s="82">
        <f t="shared" si="3"/>
        <v>-25569.811799999996</v>
      </c>
      <c r="J12" s="82">
        <f t="shared" si="3"/>
        <v>-26336.906154000011</v>
      </c>
      <c r="K12" s="82">
        <f t="shared" si="3"/>
        <v>-27127.013338620003</v>
      </c>
      <c r="L12" s="69"/>
    </row>
    <row r="13" spans="1:12">
      <c r="A13" s="69"/>
      <c r="B13" s="78" t="s">
        <v>78</v>
      </c>
      <c r="C13" s="54" t="s">
        <v>111</v>
      </c>
      <c r="D13" s="102"/>
      <c r="E13" s="79">
        <f>E12+E11</f>
        <v>65000</v>
      </c>
      <c r="F13" s="80"/>
      <c r="G13" s="79">
        <f>G11*Inputs!E12</f>
        <v>68598</v>
      </c>
      <c r="H13" s="79">
        <f>H11*Inputs!F12</f>
        <v>70655.94</v>
      </c>
      <c r="I13" s="79">
        <f>I11*Inputs!G12</f>
        <v>72775.618200000012</v>
      </c>
      <c r="J13" s="79">
        <f>J11*Inputs!H12</f>
        <v>74958.886746000004</v>
      </c>
      <c r="K13" s="79">
        <f>K11*Inputs!I12</f>
        <v>77207.653348380016</v>
      </c>
      <c r="L13" s="69"/>
    </row>
    <row r="14" spans="1:12">
      <c r="A14" s="69"/>
      <c r="B14" s="103" t="s">
        <v>54</v>
      </c>
      <c r="C14" s="105" t="s">
        <v>1</v>
      </c>
      <c r="D14" s="102"/>
      <c r="E14" s="84">
        <f>E13/E11</f>
        <v>0.72222222222222221</v>
      </c>
      <c r="F14" s="85"/>
      <c r="G14" s="84">
        <f t="shared" ref="G14:K14" si="4">G13/G11</f>
        <v>0.74</v>
      </c>
      <c r="H14" s="84">
        <f t="shared" si="4"/>
        <v>0.74</v>
      </c>
      <c r="I14" s="84">
        <f t="shared" si="4"/>
        <v>0.7400000000000001</v>
      </c>
      <c r="J14" s="84">
        <f t="shared" si="4"/>
        <v>0.73999999999999988</v>
      </c>
      <c r="K14" s="84">
        <f t="shared" si="4"/>
        <v>0.74</v>
      </c>
      <c r="L14" s="69"/>
    </row>
    <row r="15" spans="1:12">
      <c r="A15" s="69"/>
      <c r="B15" s="78"/>
      <c r="C15" s="78"/>
      <c r="D15" s="102"/>
      <c r="E15" s="79"/>
      <c r="F15" s="80"/>
      <c r="G15" s="79"/>
      <c r="H15" s="79"/>
      <c r="I15" s="79"/>
      <c r="J15" s="79"/>
      <c r="K15" s="79"/>
      <c r="L15" s="69"/>
    </row>
    <row r="16" spans="1:12">
      <c r="A16" s="69"/>
      <c r="B16" s="81" t="s">
        <v>55</v>
      </c>
      <c r="C16" s="54" t="s">
        <v>111</v>
      </c>
      <c r="D16" s="102"/>
      <c r="E16" s="82">
        <v>-8000</v>
      </c>
      <c r="F16" s="83"/>
      <c r="G16" s="82">
        <f>-Inputs!E13</f>
        <v>-13000</v>
      </c>
      <c r="H16" s="82">
        <f>-Inputs!F13</f>
        <v>-13000</v>
      </c>
      <c r="I16" s="82">
        <f>-Inputs!G13</f>
        <v>-13000</v>
      </c>
      <c r="J16" s="82">
        <f>-Inputs!H13</f>
        <v>-13000</v>
      </c>
      <c r="K16" s="82">
        <f>-Inputs!I13</f>
        <v>-13000</v>
      </c>
      <c r="L16" s="69"/>
    </row>
    <row r="17" spans="1:12">
      <c r="A17" s="69"/>
      <c r="B17" s="78" t="s">
        <v>52</v>
      </c>
      <c r="C17" s="54" t="s">
        <v>111</v>
      </c>
      <c r="D17" s="102"/>
      <c r="E17" s="79">
        <f>E16+E13</f>
        <v>57000</v>
      </c>
      <c r="F17" s="80"/>
      <c r="G17" s="79">
        <f>G16+G13</f>
        <v>55598</v>
      </c>
      <c r="H17" s="79">
        <f t="shared" ref="H17:K17" si="5">H16+H13</f>
        <v>57655.94</v>
      </c>
      <c r="I17" s="79">
        <f t="shared" si="5"/>
        <v>59775.618200000012</v>
      </c>
      <c r="J17" s="79">
        <f t="shared" si="5"/>
        <v>61958.886746000004</v>
      </c>
      <c r="K17" s="79">
        <f t="shared" si="5"/>
        <v>64207.653348380016</v>
      </c>
      <c r="L17" s="69"/>
    </row>
    <row r="18" spans="1:12">
      <c r="A18" s="69"/>
      <c r="B18" s="103" t="s">
        <v>79</v>
      </c>
      <c r="C18" s="103"/>
      <c r="D18" s="102"/>
      <c r="E18" s="84">
        <f>E17/E11</f>
        <v>0.6333333333333333</v>
      </c>
      <c r="F18" s="85"/>
      <c r="G18" s="84">
        <f t="shared" ref="G18:K18" si="6">G17/G11</f>
        <v>0.59976267529665583</v>
      </c>
      <c r="H18" s="84">
        <f t="shared" si="6"/>
        <v>0.60384725756956881</v>
      </c>
      <c r="I18" s="84">
        <f t="shared" si="6"/>
        <v>0.60781287142676588</v>
      </c>
      <c r="J18" s="84">
        <f t="shared" si="6"/>
        <v>0.61166298196773372</v>
      </c>
      <c r="K18" s="84">
        <f t="shared" si="6"/>
        <v>0.61540095336673195</v>
      </c>
      <c r="L18" s="69"/>
    </row>
    <row r="19" spans="1:12">
      <c r="A19" s="69"/>
      <c r="B19" s="69"/>
      <c r="C19" s="69"/>
      <c r="D19" s="69"/>
      <c r="E19" s="83"/>
      <c r="F19" s="83"/>
      <c r="G19" s="83"/>
      <c r="H19" s="83"/>
      <c r="I19" s="83"/>
      <c r="J19" s="83"/>
      <c r="K19" s="83"/>
      <c r="L19" s="69"/>
    </row>
    <row r="20" spans="1:12">
      <c r="A20" s="69"/>
      <c r="B20" s="69" t="s">
        <v>80</v>
      </c>
      <c r="C20" s="54" t="s">
        <v>111</v>
      </c>
      <c r="D20" s="69"/>
      <c r="E20" s="83">
        <v>-5000</v>
      </c>
      <c r="F20" s="83"/>
      <c r="G20" s="83">
        <f>-G11*Inputs!E14</f>
        <v>-4635</v>
      </c>
      <c r="H20" s="83">
        <f>-H11*Inputs!F14</f>
        <v>-4774.05</v>
      </c>
      <c r="I20" s="83">
        <f>-I11*Inputs!G14</f>
        <v>-4917.2715000000007</v>
      </c>
      <c r="J20" s="83">
        <f>-J11*Inputs!H14</f>
        <v>-5064.7896450000007</v>
      </c>
      <c r="K20" s="83">
        <f>-K11*Inputs!I14</f>
        <v>-5216.7333343500013</v>
      </c>
      <c r="L20" s="69"/>
    </row>
    <row r="21" spans="1:12">
      <c r="A21" s="69"/>
      <c r="B21" s="69"/>
      <c r="C21" s="69"/>
      <c r="D21" s="69"/>
      <c r="E21" s="83"/>
      <c r="F21" s="83"/>
      <c r="G21" s="83"/>
      <c r="H21" s="83"/>
      <c r="I21" s="83"/>
      <c r="J21" s="83"/>
      <c r="K21" s="83"/>
      <c r="L21" s="69"/>
    </row>
    <row r="22" spans="1:12">
      <c r="A22" s="69"/>
      <c r="B22" s="78" t="s">
        <v>56</v>
      </c>
      <c r="C22" s="54" t="s">
        <v>111</v>
      </c>
      <c r="D22" s="102"/>
      <c r="E22" s="79">
        <f>E20+E17</f>
        <v>52000</v>
      </c>
      <c r="F22" s="80"/>
      <c r="G22" s="79">
        <f t="shared" ref="G22:K22" si="7">G20+G17</f>
        <v>50963</v>
      </c>
      <c r="H22" s="79">
        <f t="shared" si="7"/>
        <v>52881.89</v>
      </c>
      <c r="I22" s="79">
        <f t="shared" si="7"/>
        <v>54858.346700000009</v>
      </c>
      <c r="J22" s="79">
        <f t="shared" si="7"/>
        <v>56894.097101000007</v>
      </c>
      <c r="K22" s="79">
        <f t="shared" si="7"/>
        <v>58990.920014030016</v>
      </c>
      <c r="L22" s="69"/>
    </row>
    <row r="23" spans="1:12">
      <c r="A23" s="69"/>
      <c r="B23" s="69"/>
      <c r="C23" s="69"/>
      <c r="D23" s="69"/>
      <c r="E23" s="83"/>
      <c r="F23" s="83"/>
      <c r="G23" s="83"/>
      <c r="H23" s="83"/>
      <c r="I23" s="83"/>
      <c r="J23" s="83"/>
      <c r="K23" s="83"/>
      <c r="L23" s="69"/>
    </row>
    <row r="24" spans="1:12">
      <c r="A24" s="69"/>
      <c r="B24" s="86" t="s">
        <v>57</v>
      </c>
      <c r="C24" s="54" t="s">
        <v>111</v>
      </c>
      <c r="D24" s="69"/>
      <c r="E24" s="83">
        <v>2000</v>
      </c>
      <c r="F24" s="83"/>
      <c r="G24" s="87">
        <f>-(G46-E46)</f>
        <v>5666.6666666666679</v>
      </c>
      <c r="H24" s="87">
        <f>-(H46-G46)</f>
        <v>5733.3333333333321</v>
      </c>
      <c r="I24" s="87">
        <f>-(I46-H46)</f>
        <v>5800</v>
      </c>
      <c r="J24" s="87">
        <f>-(J46-I46)</f>
        <v>5866.6666666666642</v>
      </c>
      <c r="K24" s="87">
        <f>-(K46-J46)</f>
        <v>5933.3333333333358</v>
      </c>
      <c r="L24" s="69"/>
    </row>
    <row r="25" spans="1:12">
      <c r="A25" s="69"/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</row>
    <row r="26" spans="1:12">
      <c r="A26" s="69"/>
      <c r="B26" s="78" t="s">
        <v>7</v>
      </c>
      <c r="C26" s="54" t="s">
        <v>111</v>
      </c>
      <c r="D26" s="102"/>
      <c r="E26" s="79">
        <f>E24+E22</f>
        <v>54000</v>
      </c>
      <c r="F26" s="80"/>
      <c r="G26" s="79">
        <f t="shared" ref="G26:K26" si="8">G24+G22</f>
        <v>56629.666666666672</v>
      </c>
      <c r="H26" s="79">
        <f t="shared" si="8"/>
        <v>58615.223333333328</v>
      </c>
      <c r="I26" s="79">
        <f t="shared" si="8"/>
        <v>60658.346700000009</v>
      </c>
      <c r="J26" s="79">
        <f t="shared" si="8"/>
        <v>62760.763767666671</v>
      </c>
      <c r="K26" s="79">
        <f t="shared" si="8"/>
        <v>64924.253347363352</v>
      </c>
      <c r="L26" s="69"/>
    </row>
    <row r="27" spans="1:12">
      <c r="A27" s="69"/>
      <c r="B27" s="88" t="s">
        <v>38</v>
      </c>
      <c r="C27" s="105" t="s">
        <v>1</v>
      </c>
      <c r="D27" s="104"/>
      <c r="E27" s="89">
        <f>E26/E11</f>
        <v>0.6</v>
      </c>
      <c r="F27" s="89"/>
      <c r="G27" s="89">
        <f>G26/G11</f>
        <v>0.61089176555195979</v>
      </c>
      <c r="H27" s="89">
        <f t="shared" ref="H27:K27" si="9">H26/H11</f>
        <v>0.61389410807734868</v>
      </c>
      <c r="I27" s="89">
        <f t="shared" si="9"/>
        <v>0.6167886672517473</v>
      </c>
      <c r="J27" s="89">
        <f t="shared" si="9"/>
        <v>0.61957917472075641</v>
      </c>
      <c r="K27" s="89">
        <f t="shared" si="9"/>
        <v>0.62226923618909535</v>
      </c>
      <c r="L27" s="69"/>
    </row>
    <row r="28" spans="1:12">
      <c r="A28" s="69"/>
      <c r="B28" s="88" t="s">
        <v>144</v>
      </c>
      <c r="C28" s="105" t="s">
        <v>145</v>
      </c>
      <c r="D28" s="104"/>
      <c r="E28" s="173">
        <f>E56/E26</f>
        <v>0</v>
      </c>
      <c r="F28" s="89"/>
      <c r="G28" s="173">
        <f>G56/G26</f>
        <v>3.315082015275566</v>
      </c>
      <c r="H28" s="173">
        <f t="shared" ref="H28:K28" si="10">H56/H26</f>
        <v>2.7719961535421387</v>
      </c>
      <c r="I28" s="173">
        <f t="shared" si="10"/>
        <v>2.8323362463157928</v>
      </c>
      <c r="J28" s="173">
        <f t="shared" si="10"/>
        <v>1.5820625673679527</v>
      </c>
      <c r="K28" s="173">
        <f t="shared" si="10"/>
        <v>1.4861454872459989</v>
      </c>
      <c r="L28" s="69"/>
    </row>
    <row r="29" spans="1:12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</row>
    <row r="30" spans="1:12">
      <c r="A30" s="69"/>
      <c r="B30" s="86" t="s">
        <v>81</v>
      </c>
      <c r="C30" s="54" t="s">
        <v>111</v>
      </c>
      <c r="D30" s="69"/>
      <c r="E30" s="83">
        <f>-E24</f>
        <v>-2000</v>
      </c>
      <c r="F30" s="83"/>
      <c r="G30" s="83">
        <f t="shared" ref="G30:K30" si="11">-G24</f>
        <v>-5666.6666666666679</v>
      </c>
      <c r="H30" s="83">
        <f t="shared" si="11"/>
        <v>-5733.3333333333321</v>
      </c>
      <c r="I30" s="83">
        <f t="shared" si="11"/>
        <v>-5800</v>
      </c>
      <c r="J30" s="83">
        <f t="shared" si="11"/>
        <v>-5866.6666666666642</v>
      </c>
      <c r="K30" s="83">
        <f t="shared" si="11"/>
        <v>-5933.3333333333358</v>
      </c>
      <c r="L30" s="69"/>
    </row>
    <row r="31" spans="1:12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</row>
    <row r="32" spans="1:12">
      <c r="A32" s="69"/>
      <c r="B32" s="78" t="s">
        <v>8</v>
      </c>
      <c r="C32" s="54" t="s">
        <v>111</v>
      </c>
      <c r="D32" s="102"/>
      <c r="E32" s="79">
        <f>E30+E26</f>
        <v>52000</v>
      </c>
      <c r="F32" s="80"/>
      <c r="G32" s="79">
        <f t="shared" ref="G32:K32" si="12">G30+G26</f>
        <v>50963</v>
      </c>
      <c r="H32" s="79">
        <f t="shared" si="12"/>
        <v>52881.89</v>
      </c>
      <c r="I32" s="79">
        <f t="shared" si="12"/>
        <v>54858.346700000009</v>
      </c>
      <c r="J32" s="79">
        <f t="shared" si="12"/>
        <v>56894.097101000007</v>
      </c>
      <c r="K32" s="79">
        <f t="shared" si="12"/>
        <v>58990.920014030016</v>
      </c>
      <c r="L32" s="69"/>
    </row>
    <row r="33" spans="1:12">
      <c r="A33" s="69"/>
      <c r="B33" s="90" t="s">
        <v>17</v>
      </c>
      <c r="C33" s="54" t="s">
        <v>111</v>
      </c>
      <c r="D33" s="69"/>
      <c r="E33" s="83">
        <v>0</v>
      </c>
      <c r="F33" s="83"/>
      <c r="G33" s="83">
        <f>-('Debt Schedule'!G20+'Debt Schedule'!G26+'Debt Schedule'!G44+'Debt Schedule'!G50+'Debt Schedule'!G67+'Debt Schedule'!G73)</f>
        <v>-23652</v>
      </c>
      <c r="H33" s="83">
        <f>-('Debt Schedule'!H20+'Debt Schedule'!H26+'Debt Schedule'!H44+'Debt Schedule'!H50+'Debt Schedule'!H67+'Debt Schedule'!H73)</f>
        <v>-23084.519369863014</v>
      </c>
      <c r="I33" s="83">
        <f>-('Debt Schedule'!I20+'Debt Schedule'!I26+'Debt Schedule'!I44+'Debt Schedule'!I50+'Debt Schedule'!I67+'Debt Schedule'!I73)</f>
        <v>-22849.540417140801</v>
      </c>
      <c r="J33" s="83">
        <f>-('Debt Schedule'!J20+'Debt Schedule'!J26+'Debt Schedule'!J44+'Debt Schedule'!J50+'Debt Schedule'!J67+'Debt Schedule'!J73)</f>
        <v>-11377.138500000001</v>
      </c>
      <c r="K33" s="83">
        <f>-('Debt Schedule'!K20+'Debt Schedule'!K26+'Debt Schedule'!K44+'Debt Schedule'!K50+'Debt Schedule'!K67+'Debt Schedule'!K73)</f>
        <v>-12389.946378374898</v>
      </c>
      <c r="L33" s="69"/>
    </row>
    <row r="34" spans="1:12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</row>
    <row r="35" spans="1:12">
      <c r="A35" s="69"/>
      <c r="B35" s="78" t="s">
        <v>9</v>
      </c>
      <c r="C35" s="54" t="s">
        <v>111</v>
      </c>
      <c r="D35" s="102"/>
      <c r="E35" s="79">
        <f>E33+E32</f>
        <v>52000</v>
      </c>
      <c r="F35" s="80"/>
      <c r="G35" s="79">
        <f t="shared" ref="G35:K35" si="13">G33+G32</f>
        <v>27311</v>
      </c>
      <c r="H35" s="79">
        <f t="shared" si="13"/>
        <v>29797.370630136986</v>
      </c>
      <c r="I35" s="79">
        <f t="shared" si="13"/>
        <v>32008.806282859208</v>
      </c>
      <c r="J35" s="79">
        <f t="shared" si="13"/>
        <v>45516.958601000006</v>
      </c>
      <c r="K35" s="79">
        <f t="shared" si="13"/>
        <v>46600.973635655115</v>
      </c>
      <c r="L35" s="69"/>
    </row>
    <row r="36" spans="1:12">
      <c r="A36" s="69"/>
      <c r="B36" s="90" t="s">
        <v>33</v>
      </c>
      <c r="C36" s="54" t="s">
        <v>111</v>
      </c>
      <c r="D36" s="69"/>
      <c r="E36" s="83">
        <v>-15400</v>
      </c>
      <c r="F36" s="83"/>
      <c r="G36" s="83">
        <f>G37*G35*-1</f>
        <v>-8193.2999999999993</v>
      </c>
      <c r="H36" s="83">
        <f t="shared" ref="H36:K36" si="14">H37*H35*-1</f>
        <v>-8939.2111890410961</v>
      </c>
      <c r="I36" s="83">
        <f t="shared" si="14"/>
        <v>-9602.6418848577614</v>
      </c>
      <c r="J36" s="83">
        <f t="shared" si="14"/>
        <v>-13655.087580300002</v>
      </c>
      <c r="K36" s="83">
        <f t="shared" si="14"/>
        <v>-13980.292090696534</v>
      </c>
      <c r="L36" s="69"/>
    </row>
    <row r="37" spans="1:12">
      <c r="A37" s="69"/>
      <c r="B37" s="91" t="s">
        <v>37</v>
      </c>
      <c r="C37" s="105" t="s">
        <v>1</v>
      </c>
      <c r="D37" s="105"/>
      <c r="E37" s="89">
        <f>-E36/E35</f>
        <v>0.29615384615384616</v>
      </c>
      <c r="F37" s="89"/>
      <c r="G37" s="89">
        <f>Inputs!E48</f>
        <v>0.3</v>
      </c>
      <c r="H37" s="89">
        <f>Inputs!F48</f>
        <v>0.3</v>
      </c>
      <c r="I37" s="89">
        <f>Inputs!G48</f>
        <v>0.3</v>
      </c>
      <c r="J37" s="89">
        <f>Inputs!H48</f>
        <v>0.3</v>
      </c>
      <c r="K37" s="89">
        <f>Inputs!I48</f>
        <v>0.3</v>
      </c>
      <c r="L37" s="69"/>
    </row>
    <row r="38" spans="1:12">
      <c r="A38" s="69"/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</row>
    <row r="39" spans="1:12">
      <c r="A39" s="69"/>
      <c r="B39" s="78" t="s">
        <v>10</v>
      </c>
      <c r="C39" s="54" t="s">
        <v>111</v>
      </c>
      <c r="D39" s="102"/>
      <c r="E39" s="79">
        <f t="shared" ref="E39" si="15">SUM(E36,E35)</f>
        <v>36600</v>
      </c>
      <c r="F39" s="80"/>
      <c r="G39" s="79">
        <f>G35+G36</f>
        <v>19117.7</v>
      </c>
      <c r="H39" s="79">
        <f t="shared" ref="H39:K39" si="16">H35+H36</f>
        <v>20858.15944109589</v>
      </c>
      <c r="I39" s="79">
        <f t="shared" si="16"/>
        <v>22406.164398001449</v>
      </c>
      <c r="J39" s="79">
        <f t="shared" si="16"/>
        <v>31861.871020700004</v>
      </c>
      <c r="K39" s="79">
        <f t="shared" si="16"/>
        <v>32620.681544958581</v>
      </c>
      <c r="L39" s="69"/>
    </row>
    <row r="40" spans="1:12">
      <c r="A40" s="69"/>
      <c r="B40" s="88" t="s">
        <v>11</v>
      </c>
      <c r="C40" s="105" t="s">
        <v>1</v>
      </c>
      <c r="D40" s="104"/>
      <c r="E40" s="89">
        <f>E39/E11</f>
        <v>0.40666666666666668</v>
      </c>
      <c r="F40" s="89"/>
      <c r="G40" s="89">
        <f t="shared" ref="G40:K40" si="17">G39/G11</f>
        <v>0.2062319309600863</v>
      </c>
      <c r="H40" s="89">
        <f t="shared" si="17"/>
        <v>0.21845350845818423</v>
      </c>
      <c r="I40" s="89">
        <f t="shared" si="17"/>
        <v>0.22783127185474147</v>
      </c>
      <c r="J40" s="89">
        <f t="shared" si="17"/>
        <v>0.31454288582502421</v>
      </c>
      <c r="K40" s="89">
        <f t="shared" si="17"/>
        <v>0.31265429392532945</v>
      </c>
      <c r="L40" s="69"/>
    </row>
    <row r="41" spans="1:12">
      <c r="A41" s="69"/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</row>
    <row r="42" spans="1:12" ht="24" customHeight="1">
      <c r="A42" s="69"/>
      <c r="B42" s="142" t="s">
        <v>50</v>
      </c>
      <c r="C42" s="140"/>
      <c r="D42" s="141"/>
      <c r="E42" s="141"/>
      <c r="F42" s="141"/>
      <c r="G42" s="141"/>
      <c r="H42" s="141"/>
      <c r="I42" s="141"/>
      <c r="J42" s="141"/>
      <c r="K42" s="141"/>
      <c r="L42" s="69"/>
    </row>
    <row r="43" spans="1:12">
      <c r="A43" s="69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>
      <c r="A44" s="69"/>
      <c r="B44" s="69" t="s">
        <v>84</v>
      </c>
      <c r="C44" s="54" t="s">
        <v>111</v>
      </c>
      <c r="D44" s="100"/>
      <c r="E44" s="83">
        <v>80000</v>
      </c>
      <c r="F44" s="83">
        <f>E44</f>
        <v>80000</v>
      </c>
      <c r="G44" s="83">
        <f>E44+Inputs!E41</f>
        <v>85000</v>
      </c>
      <c r="H44" s="83">
        <f>G44+Inputs!F41</f>
        <v>86000</v>
      </c>
      <c r="I44" s="83">
        <f>H44+Inputs!G41</f>
        <v>87000</v>
      </c>
      <c r="J44" s="83">
        <f>I44+Inputs!H41</f>
        <v>88000</v>
      </c>
      <c r="K44" s="83">
        <f>J44+Inputs!I41</f>
        <v>89000</v>
      </c>
      <c r="L44" s="69"/>
    </row>
    <row r="45" spans="1:12">
      <c r="A45" s="69"/>
      <c r="B45" s="69" t="s">
        <v>92</v>
      </c>
      <c r="C45" s="54" t="s">
        <v>111</v>
      </c>
      <c r="D45" s="100"/>
      <c r="E45" s="83">
        <v>0</v>
      </c>
      <c r="F45" s="83">
        <f>Transaction!D14</f>
        <v>198000</v>
      </c>
      <c r="G45" s="83">
        <f>F45</f>
        <v>198000</v>
      </c>
      <c r="H45" s="83">
        <f t="shared" ref="H45:K45" si="18">G45</f>
        <v>198000</v>
      </c>
      <c r="I45" s="83">
        <f t="shared" si="18"/>
        <v>198000</v>
      </c>
      <c r="J45" s="83">
        <f t="shared" si="18"/>
        <v>198000</v>
      </c>
      <c r="K45" s="83">
        <f t="shared" si="18"/>
        <v>198000</v>
      </c>
      <c r="L45" s="69"/>
    </row>
    <row r="46" spans="1:12">
      <c r="A46" s="69"/>
      <c r="B46" s="69" t="s">
        <v>29</v>
      </c>
      <c r="C46" s="54" t="s">
        <v>111</v>
      </c>
      <c r="D46" s="100"/>
      <c r="E46" s="83">
        <v>-20000</v>
      </c>
      <c r="F46" s="83">
        <f>E46</f>
        <v>-20000</v>
      </c>
      <c r="G46" s="83">
        <f>F46-(G44)/Inputs!E42</f>
        <v>-25666.666666666668</v>
      </c>
      <c r="H46" s="83">
        <f>G46-(H44)/Inputs!F42</f>
        <v>-31400</v>
      </c>
      <c r="I46" s="83">
        <f>H46-(I44)/Inputs!G42</f>
        <v>-37200</v>
      </c>
      <c r="J46" s="83">
        <f>I46-(J44)/Inputs!H42</f>
        <v>-43066.666666666664</v>
      </c>
      <c r="K46" s="83">
        <f>J46-(K44)/Inputs!I42</f>
        <v>-49000</v>
      </c>
      <c r="L46" s="69"/>
    </row>
    <row r="47" spans="1:12">
      <c r="A47" s="69"/>
      <c r="B47" s="69"/>
      <c r="C47" s="69"/>
      <c r="D47" s="100"/>
      <c r="E47" s="83"/>
      <c r="F47" s="83"/>
      <c r="G47" s="83"/>
      <c r="H47" s="83"/>
      <c r="I47" s="83"/>
      <c r="J47" s="83"/>
      <c r="K47" s="83"/>
      <c r="L47" s="69"/>
    </row>
    <row r="48" spans="1:12">
      <c r="A48" s="69"/>
      <c r="B48" s="69" t="s">
        <v>18</v>
      </c>
      <c r="C48" s="54" t="s">
        <v>111</v>
      </c>
      <c r="D48" s="100"/>
      <c r="E48" s="83">
        <v>19000</v>
      </c>
      <c r="F48" s="83">
        <f>E48</f>
        <v>19000</v>
      </c>
      <c r="G48" s="83">
        <f>-(Inputs!E30/FS!G4)*FS!G12</f>
        <v>15847.890410958904</v>
      </c>
      <c r="H48" s="83">
        <f>-(Inputs!F30/FS!H4)*FS!H12</f>
        <v>16278.727868852457</v>
      </c>
      <c r="I48" s="83">
        <f>-(Inputs!G30/FS!I4)*FS!I12</f>
        <v>16813.026936986298</v>
      </c>
      <c r="J48" s="83">
        <f>-(Inputs!H30/FS!J4)*FS!J12</f>
        <v>17317.417745095896</v>
      </c>
      <c r="K48" s="83">
        <f>-(Inputs!I30/FS!K4)*FS!K12</f>
        <v>17836.940277448768</v>
      </c>
      <c r="L48" s="69"/>
    </row>
    <row r="49" spans="1:14">
      <c r="A49" s="69"/>
      <c r="B49" s="69" t="s">
        <v>19</v>
      </c>
      <c r="C49" s="54" t="s">
        <v>111</v>
      </c>
      <c r="D49" s="100"/>
      <c r="E49" s="83">
        <v>15000</v>
      </c>
      <c r="F49" s="83">
        <f t="shared" ref="F49:F50" si="19">E49</f>
        <v>15000</v>
      </c>
      <c r="G49" s="83">
        <f>(Inputs!E28/FS!G4)*FS!G11</f>
        <v>13968.493150684932</v>
      </c>
      <c r="H49" s="83">
        <f>(Inputs!F28/FS!H4)*FS!H11</f>
        <v>14348.237704918032</v>
      </c>
      <c r="I49" s="83">
        <f>(Inputs!G28/FS!I4)*FS!I11</f>
        <v>14819.174383561643</v>
      </c>
      <c r="J49" s="83">
        <f>(Inputs!H28/FS!J4)*FS!J11</f>
        <v>15263.749615068495</v>
      </c>
      <c r="K49" s="83">
        <f>(Inputs!I28/FS!K4)*FS!K11</f>
        <v>15721.66210352055</v>
      </c>
      <c r="L49" s="69"/>
    </row>
    <row r="50" spans="1:14">
      <c r="A50" s="69"/>
      <c r="B50" s="69" t="s">
        <v>3</v>
      </c>
      <c r="C50" s="54" t="s">
        <v>111</v>
      </c>
      <c r="D50" s="100"/>
      <c r="E50" s="83">
        <v>3000</v>
      </c>
      <c r="F50" s="83">
        <f t="shared" si="19"/>
        <v>3000</v>
      </c>
      <c r="G50" s="83">
        <f t="shared" ref="G50:K50" si="20">G79</f>
        <v>0</v>
      </c>
      <c r="H50" s="83">
        <f t="shared" si="20"/>
        <v>0</v>
      </c>
      <c r="I50" s="83">
        <f t="shared" si="20"/>
        <v>36157.476132248019</v>
      </c>
      <c r="J50" s="83">
        <f t="shared" si="20"/>
        <v>0</v>
      </c>
      <c r="K50" s="83">
        <f t="shared" si="20"/>
        <v>34365.632024904698</v>
      </c>
      <c r="L50" s="69"/>
    </row>
    <row r="51" spans="1:14">
      <c r="A51" s="69"/>
      <c r="B51" s="78" t="s">
        <v>2</v>
      </c>
      <c r="C51" s="54" t="s">
        <v>111</v>
      </c>
      <c r="D51" s="102"/>
      <c r="E51" s="79">
        <f t="shared" ref="E51:K51" si="21">SUM(E44:E50)</f>
        <v>97000</v>
      </c>
      <c r="F51" s="79">
        <f t="shared" si="21"/>
        <v>295000</v>
      </c>
      <c r="G51" s="79">
        <f t="shared" si="21"/>
        <v>287149.71689497714</v>
      </c>
      <c r="H51" s="79">
        <f t="shared" si="21"/>
        <v>283226.96557377046</v>
      </c>
      <c r="I51" s="79">
        <f t="shared" si="21"/>
        <v>315589.67745279596</v>
      </c>
      <c r="J51" s="79">
        <f t="shared" si="21"/>
        <v>275514.50069349771</v>
      </c>
      <c r="K51" s="79">
        <f t="shared" si="21"/>
        <v>305924.23440587404</v>
      </c>
      <c r="L51" s="69"/>
    </row>
    <row r="52" spans="1:14">
      <c r="A52" s="69"/>
      <c r="B52" s="92"/>
      <c r="C52" s="92"/>
      <c r="D52" s="100"/>
      <c r="E52" s="83"/>
      <c r="F52" s="83"/>
      <c r="G52" s="83"/>
      <c r="H52" s="83"/>
      <c r="I52" s="83"/>
      <c r="J52" s="83"/>
      <c r="K52" s="83"/>
      <c r="L52" s="69"/>
    </row>
    <row r="53" spans="1:14">
      <c r="A53" s="69"/>
      <c r="B53" s="69" t="s">
        <v>36</v>
      </c>
      <c r="C53" s="54" t="s">
        <v>111</v>
      </c>
      <c r="D53" s="100"/>
      <c r="E53" s="83">
        <v>72000</v>
      </c>
      <c r="F53" s="83">
        <f>Transaction!D12*Transaction!D19</f>
        <v>53999.999999999985</v>
      </c>
      <c r="G53" s="83">
        <f>F53+G39+G75</f>
        <v>73117.699999999983</v>
      </c>
      <c r="H53" s="83">
        <f>G53+H39+H75</f>
        <v>93975.859441095876</v>
      </c>
      <c r="I53" s="83">
        <f>H53+I39+I75</f>
        <v>116382.02383909732</v>
      </c>
      <c r="J53" s="83">
        <f>I53+J39+J75</f>
        <v>148243.89485979732</v>
      </c>
      <c r="K53" s="83">
        <f>J53+K39+K75</f>
        <v>180864.57640475591</v>
      </c>
      <c r="L53" s="69"/>
    </row>
    <row r="54" spans="1:14">
      <c r="A54" s="69"/>
      <c r="B54" s="69" t="s">
        <v>91</v>
      </c>
      <c r="C54" s="54" t="s">
        <v>111</v>
      </c>
      <c r="D54" s="100"/>
      <c r="E54" s="83"/>
      <c r="F54" s="83">
        <v>0</v>
      </c>
      <c r="G54" s="83">
        <v>0</v>
      </c>
      <c r="H54" s="83">
        <v>0</v>
      </c>
      <c r="I54" s="83">
        <v>0</v>
      </c>
      <c r="J54" s="83">
        <v>0</v>
      </c>
      <c r="K54" s="83">
        <v>0</v>
      </c>
      <c r="L54" s="69"/>
      <c r="N54" s="93"/>
    </row>
    <row r="55" spans="1:14">
      <c r="A55" s="69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N55" s="93"/>
    </row>
    <row r="56" spans="1:14">
      <c r="A56" s="69"/>
      <c r="B56" s="69" t="s">
        <v>21</v>
      </c>
      <c r="C56" s="54" t="s">
        <v>111</v>
      </c>
      <c r="D56" s="100"/>
      <c r="E56" s="83">
        <v>0</v>
      </c>
      <c r="F56" s="83">
        <f>Transaction!D12*Transaction!D20</f>
        <v>216000</v>
      </c>
      <c r="G56" s="83">
        <f>'Debt Schedule'!G22+'Debt Schedule'!G28+'Debt Schedule'!G46+'Debt Schedule'!G52+'Debt Schedule'!G69+'Debt Schedule'!G75</f>
        <v>187731.98949771689</v>
      </c>
      <c r="H56" s="83">
        <f>'Debt Schedule'!H22+'Debt Schedule'!H28+'Debt Schedule'!H46+'Debt Schedule'!H52+'Debt Schedule'!H69+'Debt Schedule'!H75</f>
        <v>162481.1736190134</v>
      </c>
      <c r="I56" s="83">
        <f>'Debt Schedule'!I22+'Debt Schedule'!I28+'Debt Schedule'!I46+'Debt Schedule'!I52+'Debt Schedule'!I69+'Debt Schedule'!I75</f>
        <v>171804.83399999997</v>
      </c>
      <c r="J56" s="83">
        <f>'Debt Schedule'!J22+'Debt Schedule'!J28+'Debt Schedule'!J46+'Debt Schedule'!J52+'Debt Schedule'!J69+'Debt Schedule'!J75</f>
        <v>99291.45505624832</v>
      </c>
      <c r="K56" s="83">
        <f>'Debt Schedule'!K22+'Debt Schedule'!K28+'Debt Schedule'!K46+'Debt Schedule'!K52+'Debt Schedule'!K69+'Debt Schedule'!K75</f>
        <v>96486.88612499999</v>
      </c>
      <c r="L56" s="69"/>
      <c r="N56" s="94"/>
    </row>
    <row r="57" spans="1:14">
      <c r="A57" s="69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N57" s="95"/>
    </row>
    <row r="58" spans="1:14">
      <c r="A58" s="69"/>
      <c r="B58" s="69" t="s">
        <v>22</v>
      </c>
      <c r="C58" s="54" t="s">
        <v>111</v>
      </c>
      <c r="D58" s="100"/>
      <c r="E58" s="83">
        <v>25000</v>
      </c>
      <c r="F58" s="83">
        <f>E58</f>
        <v>25000</v>
      </c>
      <c r="G58" s="83">
        <f>(Inputs!E29/FS!G4)*(-FS!G12-FS!G16-FS!G20)</f>
        <v>26300.027397260274</v>
      </c>
      <c r="H58" s="83">
        <f>(Inputs!F29/FS!H4)*(-FS!H12-FS!H16-FS!H20)</f>
        <v>26769.932513661202</v>
      </c>
      <c r="I58" s="83">
        <f>(Inputs!G29/FS!I4)*(-FS!I12-FS!I16-FS!I20)</f>
        <v>27402.819613698626</v>
      </c>
      <c r="J58" s="83">
        <f>(Inputs!H29/FS!J4)*(-FS!J12-FS!J16-FS!J20)</f>
        <v>27979.150777452058</v>
      </c>
      <c r="K58" s="83">
        <f>(Inputs!I29/FS!K4)*(-FS!K12-FS!K16-FS!K20)</f>
        <v>28572.771876118084</v>
      </c>
      <c r="L58" s="69"/>
    </row>
    <row r="59" spans="1:14">
      <c r="A59" s="69"/>
      <c r="B59" s="78" t="s">
        <v>20</v>
      </c>
      <c r="C59" s="54" t="s">
        <v>111</v>
      </c>
      <c r="D59" s="102"/>
      <c r="E59" s="79">
        <f t="shared" ref="E59:K59" si="22">SUM(E53:E58)</f>
        <v>97000</v>
      </c>
      <c r="F59" s="79">
        <f t="shared" si="22"/>
        <v>295000</v>
      </c>
      <c r="G59" s="79">
        <f t="shared" si="22"/>
        <v>287149.71689497714</v>
      </c>
      <c r="H59" s="79">
        <f t="shared" si="22"/>
        <v>283226.96557377046</v>
      </c>
      <c r="I59" s="79">
        <f t="shared" si="22"/>
        <v>315589.67745279591</v>
      </c>
      <c r="J59" s="79">
        <f t="shared" si="22"/>
        <v>275514.50069349771</v>
      </c>
      <c r="K59" s="79">
        <f t="shared" si="22"/>
        <v>305924.23440587398</v>
      </c>
      <c r="L59" s="69"/>
    </row>
    <row r="60" spans="1:14">
      <c r="A60" s="69"/>
      <c r="B60" s="106" t="s">
        <v>30</v>
      </c>
      <c r="C60" s="106"/>
      <c r="D60" s="69"/>
      <c r="E60" s="106">
        <f t="shared" ref="E60:K60" si="23">E51-E59</f>
        <v>0</v>
      </c>
      <c r="F60" s="106">
        <f t="shared" si="23"/>
        <v>0</v>
      </c>
      <c r="G60" s="106">
        <f t="shared" si="23"/>
        <v>0</v>
      </c>
      <c r="H60" s="106">
        <f t="shared" si="23"/>
        <v>0</v>
      </c>
      <c r="I60" s="106">
        <f t="shared" si="23"/>
        <v>0</v>
      </c>
      <c r="J60" s="106">
        <f t="shared" si="23"/>
        <v>0</v>
      </c>
      <c r="K60" s="106">
        <f t="shared" si="23"/>
        <v>0</v>
      </c>
      <c r="L60" s="69"/>
    </row>
    <row r="61" spans="1:14">
      <c r="A61" s="69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</row>
    <row r="62" spans="1:14" ht="24" customHeight="1">
      <c r="A62" s="69"/>
      <c r="B62" s="142" t="s">
        <v>51</v>
      </c>
      <c r="C62" s="140"/>
      <c r="D62" s="141"/>
      <c r="E62" s="141"/>
      <c r="F62" s="141"/>
      <c r="G62" s="141"/>
      <c r="H62" s="141"/>
      <c r="I62" s="141"/>
      <c r="J62" s="141"/>
      <c r="K62" s="141"/>
      <c r="L62" s="69"/>
    </row>
    <row r="63" spans="1:14">
      <c r="A63" s="69"/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</row>
    <row r="64" spans="1:14">
      <c r="A64" s="69"/>
      <c r="B64" s="96" t="s">
        <v>25</v>
      </c>
      <c r="C64" s="54" t="s">
        <v>111</v>
      </c>
      <c r="D64" s="107"/>
      <c r="E64" s="79">
        <f t="shared" ref="E64:K64" si="24">SUM(E65:E67)</f>
        <v>37150</v>
      </c>
      <c r="F64" s="69"/>
      <c r="G64" s="79">
        <f>SUM(G65:G67)</f>
        <v>53920.010502283105</v>
      </c>
      <c r="H64" s="79">
        <f t="shared" si="24"/>
        <v>49335.335248566509</v>
      </c>
      <c r="I64" s="79">
        <f t="shared" si="24"/>
        <v>50683.356168402221</v>
      </c>
      <c r="J64" s="79">
        <f t="shared" si="24"/>
        <v>48733.04131150365</v>
      </c>
      <c r="K64" s="79">
        <f t="shared" si="24"/>
        <v>50560.147334527923</v>
      </c>
      <c r="L64" s="69"/>
    </row>
    <row r="65" spans="1:12">
      <c r="A65" s="69"/>
      <c r="B65" s="97" t="s">
        <v>7</v>
      </c>
      <c r="C65" s="54" t="s">
        <v>111</v>
      </c>
      <c r="D65" s="100"/>
      <c r="E65" s="83">
        <f>FS!E26</f>
        <v>54000</v>
      </c>
      <c r="F65" s="69"/>
      <c r="G65" s="83">
        <f>FS!G26</f>
        <v>56629.666666666672</v>
      </c>
      <c r="H65" s="83">
        <f>FS!H26</f>
        <v>58615.223333333328</v>
      </c>
      <c r="I65" s="83">
        <f>FS!I26</f>
        <v>60658.346700000009</v>
      </c>
      <c r="J65" s="83">
        <f>FS!J26</f>
        <v>62760.763767666671</v>
      </c>
      <c r="K65" s="83">
        <f>FS!K26</f>
        <v>64924.253347363352</v>
      </c>
      <c r="L65" s="69"/>
    </row>
    <row r="66" spans="1:12">
      <c r="A66" s="69"/>
      <c r="B66" s="97" t="s">
        <v>35</v>
      </c>
      <c r="C66" s="54" t="s">
        <v>111</v>
      </c>
      <c r="D66" s="100"/>
      <c r="E66" s="83">
        <f>FS!E36</f>
        <v>-15400</v>
      </c>
      <c r="F66" s="69"/>
      <c r="G66" s="83">
        <f>FS!G36</f>
        <v>-8193.2999999999993</v>
      </c>
      <c r="H66" s="83">
        <f>FS!H36</f>
        <v>-8939.2111890410961</v>
      </c>
      <c r="I66" s="83">
        <f>FS!I36</f>
        <v>-9602.6418848577614</v>
      </c>
      <c r="J66" s="83">
        <f>FS!J36</f>
        <v>-13655.087580300002</v>
      </c>
      <c r="K66" s="83">
        <f>FS!K36</f>
        <v>-13980.292090696534</v>
      </c>
      <c r="L66" s="69"/>
    </row>
    <row r="67" spans="1:12">
      <c r="A67" s="69"/>
      <c r="B67" s="97" t="s">
        <v>24</v>
      </c>
      <c r="C67" s="54" t="s">
        <v>111</v>
      </c>
      <c r="D67" s="100"/>
      <c r="E67" s="83">
        <v>-1450</v>
      </c>
      <c r="F67" s="69"/>
      <c r="G67" s="83">
        <f>-(G48-E48)-(G49-E49)+(G58-E58)</f>
        <v>5483.6438356164381</v>
      </c>
      <c r="H67" s="83">
        <f>-(H48-G48)-(H49-G49)+(H58-G58)</f>
        <v>-340.67689572572453</v>
      </c>
      <c r="I67" s="83">
        <f>-(I48-H48)-(I49-H49)+(I58-H58)</f>
        <v>-372.34864674002893</v>
      </c>
      <c r="J67" s="83">
        <f>-(J48-I48)-(J49-I49)+(J58-I58)</f>
        <v>-372.63487586301744</v>
      </c>
      <c r="K67" s="83">
        <f>-(K48-J48)-(K49-J49)+(K58-J58)</f>
        <v>-383.81392213890103</v>
      </c>
      <c r="L67" s="69"/>
    </row>
    <row r="68" spans="1:12">
      <c r="A68" s="69"/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</row>
    <row r="69" spans="1:12">
      <c r="A69" s="69"/>
      <c r="B69" s="96" t="s">
        <v>26</v>
      </c>
      <c r="C69" s="54" t="s">
        <v>111</v>
      </c>
      <c r="D69" s="107"/>
      <c r="E69" s="79">
        <f>SUM(E70:E70)</f>
        <v>-5000</v>
      </c>
      <c r="F69" s="69"/>
      <c r="G69" s="79">
        <f t="shared" ref="G69:K69" si="25">SUM(G70:G70)</f>
        <v>-5000</v>
      </c>
      <c r="H69" s="79">
        <f t="shared" si="25"/>
        <v>-1000</v>
      </c>
      <c r="I69" s="79">
        <f t="shared" si="25"/>
        <v>-1000</v>
      </c>
      <c r="J69" s="79">
        <f t="shared" si="25"/>
        <v>-1000</v>
      </c>
      <c r="K69" s="79">
        <f t="shared" si="25"/>
        <v>-1000</v>
      </c>
      <c r="L69" s="69"/>
    </row>
    <row r="70" spans="1:12">
      <c r="A70" s="69"/>
      <c r="B70" s="97" t="s">
        <v>27</v>
      </c>
      <c r="C70" s="54" t="s">
        <v>111</v>
      </c>
      <c r="D70" s="100"/>
      <c r="E70" s="83">
        <v>-5000</v>
      </c>
      <c r="F70" s="69"/>
      <c r="G70" s="83">
        <f>-Inputs!E41</f>
        <v>-5000</v>
      </c>
      <c r="H70" s="83">
        <f>-Inputs!F41</f>
        <v>-1000</v>
      </c>
      <c r="I70" s="83">
        <f>-Inputs!G41</f>
        <v>-1000</v>
      </c>
      <c r="J70" s="83">
        <f>-Inputs!H41</f>
        <v>-1000</v>
      </c>
      <c r="K70" s="83">
        <f>-Inputs!I41</f>
        <v>-1000</v>
      </c>
      <c r="L70" s="69"/>
    </row>
    <row r="71" spans="1:12">
      <c r="A71" s="69"/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</row>
    <row r="72" spans="1:12">
      <c r="A72" s="69"/>
      <c r="B72" s="96" t="s">
        <v>28</v>
      </c>
      <c r="C72" s="54" t="s">
        <v>111</v>
      </c>
      <c r="D72" s="107"/>
      <c r="E72" s="79">
        <f>SUM(E73:E75)</f>
        <v>0</v>
      </c>
      <c r="F72" s="69"/>
      <c r="G72" s="79">
        <f t="shared" ref="G72:K72" si="26">SUM(G73:G75)</f>
        <v>-51920.010502283105</v>
      </c>
      <c r="H72" s="79">
        <f t="shared" si="26"/>
        <v>-48335.335248566509</v>
      </c>
      <c r="I72" s="79">
        <f t="shared" si="26"/>
        <v>-13525.880036154205</v>
      </c>
      <c r="J72" s="79">
        <f t="shared" si="26"/>
        <v>-83890.517443751669</v>
      </c>
      <c r="K72" s="79">
        <f t="shared" si="26"/>
        <v>-15194.515309623228</v>
      </c>
      <c r="L72" s="69"/>
    </row>
    <row r="73" spans="1:12">
      <c r="A73" s="69"/>
      <c r="B73" s="97" t="s">
        <v>86</v>
      </c>
      <c r="C73" s="54" t="s">
        <v>111</v>
      </c>
      <c r="D73" s="100"/>
      <c r="E73" s="83">
        <v>0</v>
      </c>
      <c r="F73" s="69"/>
      <c r="G73" s="83">
        <f>'Debt Schedule'!G19+'Debt Schedule'!G21+'Debt Schedule'!G45+'Debt Schedule'!G68</f>
        <v>-40688.010502283105</v>
      </c>
      <c r="H73" s="83">
        <f>'Debt Schedule'!H19+'Debt Schedule'!H21+'Debt Schedule'!H45+'Debt Schedule'!H68</f>
        <v>-39242.215878703493</v>
      </c>
      <c r="I73" s="83">
        <f>'Debt Schedule'!I19+'Debt Schedule'!I21+'Debt Schedule'!I45+'Debt Schedule'!I68</f>
        <v>-6469.7736190134019</v>
      </c>
      <c r="J73" s="83">
        <f>'Debt Schedule'!J19+'Debt Schedule'!J21+'Debt Schedule'!J45+'Debt Schedule'!J68</f>
        <v>-76889.201443751663</v>
      </c>
      <c r="K73" s="83">
        <f>'Debt Schedule'!K19+'Debt Schedule'!K21+'Debt Schedule'!K45+'Debt Schedule'!K68</f>
        <v>-7399.1825562483282</v>
      </c>
      <c r="L73" s="69"/>
    </row>
    <row r="74" spans="1:12">
      <c r="A74" s="69"/>
      <c r="B74" s="97" t="s">
        <v>116</v>
      </c>
      <c r="C74" s="54" t="s">
        <v>111</v>
      </c>
      <c r="D74" s="100"/>
      <c r="E74" s="83">
        <v>0</v>
      </c>
      <c r="F74" s="69"/>
      <c r="G74" s="83">
        <f>'Debt Schedule'!G27+'Debt Schedule'!G51+'Debt Schedule'!G74</f>
        <v>-11232</v>
      </c>
      <c r="H74" s="83">
        <f>'Debt Schedule'!H27+'Debt Schedule'!H51+'Debt Schedule'!H74</f>
        <v>-9093.1193698630141</v>
      </c>
      <c r="I74" s="83">
        <f>'Debt Schedule'!I27+'Debt Schedule'!I51+'Debt Schedule'!I74</f>
        <v>-7056.1064171408043</v>
      </c>
      <c r="J74" s="83">
        <f>'Debt Schedule'!J27+'Debt Schedule'!J51+'Debt Schedule'!J74</f>
        <v>-7001.3159999999998</v>
      </c>
      <c r="K74" s="83">
        <f>'Debt Schedule'!K27+'Debt Schedule'!K51+'Debt Schedule'!K74</f>
        <v>-7795.3327533748989</v>
      </c>
      <c r="L74" s="69"/>
    </row>
    <row r="75" spans="1:12">
      <c r="A75" s="69"/>
      <c r="B75" s="97" t="s">
        <v>34</v>
      </c>
      <c r="C75" s="54" t="s">
        <v>111</v>
      </c>
      <c r="D75" s="100"/>
      <c r="E75" s="83">
        <v>0</v>
      </c>
      <c r="F75" s="69"/>
      <c r="G75" s="83">
        <f>-E39*Inputs!E45</f>
        <v>0</v>
      </c>
      <c r="H75" s="83">
        <f>-G39*Inputs!F45</f>
        <v>0</v>
      </c>
      <c r="I75" s="83">
        <f>-H39*Inputs!G45</f>
        <v>0</v>
      </c>
      <c r="J75" s="83">
        <f>-I39*Inputs!H45</f>
        <v>0</v>
      </c>
      <c r="K75" s="83">
        <f>-J39*Inputs!I45</f>
        <v>0</v>
      </c>
      <c r="L75" s="69"/>
    </row>
    <row r="76" spans="1:12">
      <c r="A76" s="69"/>
      <c r="B76" s="69"/>
      <c r="C76" s="69"/>
      <c r="D76" s="69"/>
      <c r="E76" s="69"/>
      <c r="F76" s="69"/>
      <c r="G76" s="69"/>
      <c r="H76" s="69"/>
      <c r="I76" s="69"/>
      <c r="J76" s="69"/>
      <c r="K76" s="69"/>
      <c r="L76" s="69"/>
    </row>
    <row r="77" spans="1:12">
      <c r="A77" s="69"/>
      <c r="B77" s="98" t="s">
        <v>4</v>
      </c>
      <c r="C77" s="54" t="s">
        <v>111</v>
      </c>
      <c r="D77" s="108"/>
      <c r="E77" s="80">
        <v>2450</v>
      </c>
      <c r="F77" s="69"/>
      <c r="G77" s="80">
        <f>E79</f>
        <v>3000</v>
      </c>
      <c r="H77" s="80">
        <f t="shared" ref="H77:K77" si="27">G79</f>
        <v>0</v>
      </c>
      <c r="I77" s="80">
        <f t="shared" si="27"/>
        <v>0</v>
      </c>
      <c r="J77" s="80">
        <f t="shared" si="27"/>
        <v>36157.476132248019</v>
      </c>
      <c r="K77" s="80">
        <f t="shared" si="27"/>
        <v>0</v>
      </c>
      <c r="L77" s="69"/>
    </row>
    <row r="78" spans="1:12">
      <c r="A78" s="69"/>
      <c r="B78" s="99" t="s">
        <v>5</v>
      </c>
      <c r="C78" s="54" t="s">
        <v>111</v>
      </c>
      <c r="D78" s="100"/>
      <c r="E78" s="83">
        <f>E64+E69+E72</f>
        <v>32150</v>
      </c>
      <c r="F78" s="69"/>
      <c r="G78" s="83">
        <f t="shared" ref="G78:K78" si="28">G64+G69+G72</f>
        <v>-3000</v>
      </c>
      <c r="H78" s="83">
        <f t="shared" si="28"/>
        <v>0</v>
      </c>
      <c r="I78" s="83">
        <f t="shared" si="28"/>
        <v>36157.476132248019</v>
      </c>
      <c r="J78" s="83">
        <f t="shared" si="28"/>
        <v>-36157.476132248019</v>
      </c>
      <c r="K78" s="83">
        <f t="shared" si="28"/>
        <v>34365.632024904698</v>
      </c>
      <c r="L78" s="69"/>
    </row>
    <row r="79" spans="1:12">
      <c r="A79" s="69"/>
      <c r="B79" s="98" t="s">
        <v>6</v>
      </c>
      <c r="C79" s="54" t="s">
        <v>111</v>
      </c>
      <c r="D79" s="100"/>
      <c r="E79" s="80">
        <f>E50</f>
        <v>3000</v>
      </c>
      <c r="F79" s="69"/>
      <c r="G79" s="80">
        <f>SUM(G77:G78)</f>
        <v>0</v>
      </c>
      <c r="H79" s="80">
        <f t="shared" ref="H79:K79" si="29">SUM(H77:H78)</f>
        <v>0</v>
      </c>
      <c r="I79" s="80">
        <f t="shared" si="29"/>
        <v>36157.476132248019</v>
      </c>
      <c r="J79" s="80">
        <f t="shared" si="29"/>
        <v>0</v>
      </c>
      <c r="K79" s="80">
        <f t="shared" si="29"/>
        <v>34365.632024904698</v>
      </c>
      <c r="L79" s="69"/>
    </row>
    <row r="80" spans="1:12">
      <c r="A80" s="69"/>
      <c r="B80" s="69"/>
      <c r="C80" s="69"/>
      <c r="D80" s="69"/>
      <c r="E80" s="69"/>
      <c r="F80" s="69"/>
      <c r="G80" s="69"/>
      <c r="H80" s="69"/>
      <c r="I80" s="69"/>
      <c r="J80" s="69"/>
      <c r="K80" s="69"/>
      <c r="L80" s="69"/>
    </row>
    <row r="81" spans="1:12">
      <c r="A81" s="69"/>
      <c r="B81" s="171"/>
      <c r="C81" s="171"/>
      <c r="D81" s="171"/>
      <c r="E81" s="171"/>
      <c r="F81" s="171"/>
      <c r="G81" s="171"/>
      <c r="H81" s="171"/>
      <c r="I81" s="171"/>
      <c r="J81" s="171"/>
      <c r="K81" s="171"/>
      <c r="L81" s="69"/>
    </row>
    <row r="82" spans="1:12">
      <c r="A82" s="69"/>
      <c r="B82" s="171" t="s">
        <v>147</v>
      </c>
      <c r="C82" s="171"/>
      <c r="D82" s="171"/>
      <c r="E82" s="171"/>
      <c r="F82" s="171"/>
      <c r="G82" s="172">
        <f>G77+G64+G69</f>
        <v>51920.010502283105</v>
      </c>
      <c r="H82" s="172">
        <f t="shared" ref="H82:K82" si="30">H77+H64+H69</f>
        <v>48335.335248566509</v>
      </c>
      <c r="I82" s="172">
        <f t="shared" si="30"/>
        <v>49683.356168402221</v>
      </c>
      <c r="J82" s="172">
        <f t="shared" si="30"/>
        <v>83890.517443751669</v>
      </c>
      <c r="K82" s="172">
        <f t="shared" si="30"/>
        <v>49560.147334527923</v>
      </c>
      <c r="L82" s="69"/>
    </row>
    <row r="83" spans="1:12">
      <c r="A83" s="69"/>
      <c r="B83" s="69"/>
      <c r="C83" s="69"/>
      <c r="D83" s="69"/>
      <c r="E83" s="69"/>
      <c r="F83" s="69"/>
      <c r="G83" s="69"/>
      <c r="H83" s="69"/>
      <c r="I83" s="69"/>
      <c r="J83" s="69"/>
      <c r="K83" s="69"/>
      <c r="L83" s="69"/>
    </row>
  </sheetData>
  <pageMargins left="0.7" right="0.7" top="0.75" bottom="0.75" header="0.3" footer="0.3"/>
  <ignoredErrors>
    <ignoredError sqref="F45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30C23-142B-6143-A02E-180731752318}">
  <sheetPr>
    <tabColor theme="9" tint="0.59999389629810485"/>
  </sheetPr>
  <dimension ref="B2:K83"/>
  <sheetViews>
    <sheetView showGridLines="0" topLeftCell="A10" workbookViewId="0">
      <selection activeCell="G21" sqref="G21"/>
    </sheetView>
  </sheetViews>
  <sheetFormatPr baseColWidth="10" defaultRowHeight="14"/>
  <cols>
    <col min="1" max="1" width="6" style="38" customWidth="1"/>
    <col min="2" max="2" width="24.42578125" style="38" customWidth="1"/>
    <col min="3" max="3" width="5.140625" style="54" customWidth="1"/>
    <col min="4" max="4" width="7.7109375" style="59" bestFit="1" customWidth="1"/>
    <col min="5" max="5" width="8.28515625" style="38" bestFit="1" customWidth="1"/>
    <col min="6" max="6" width="8.42578125" style="38" bestFit="1" customWidth="1"/>
    <col min="7" max="11" width="10.85546875" style="38" bestFit="1" customWidth="1"/>
    <col min="12" max="16384" width="10.7109375" style="38"/>
  </cols>
  <sheetData>
    <row r="2" spans="2:11">
      <c r="B2" s="34" t="s">
        <v>12</v>
      </c>
      <c r="C2" s="53"/>
      <c r="D2" s="58"/>
      <c r="E2" s="35">
        <v>2026</v>
      </c>
      <c r="F2" s="36"/>
      <c r="G2" s="37">
        <f>E2+1</f>
        <v>2027</v>
      </c>
      <c r="H2" s="37">
        <f t="shared" ref="H2:K2" si="0">G2+1</f>
        <v>2028</v>
      </c>
      <c r="I2" s="37">
        <f t="shared" si="0"/>
        <v>2029</v>
      </c>
      <c r="J2" s="37">
        <f t="shared" si="0"/>
        <v>2030</v>
      </c>
      <c r="K2" s="37">
        <f t="shared" si="0"/>
        <v>2031</v>
      </c>
    </row>
    <row r="3" spans="2:11">
      <c r="B3" s="34" t="s">
        <v>16</v>
      </c>
      <c r="C3" s="53"/>
      <c r="D3" s="58"/>
      <c r="E3" s="35" t="s">
        <v>65</v>
      </c>
      <c r="F3" s="36"/>
      <c r="G3" s="37" t="s">
        <v>47</v>
      </c>
      <c r="H3" s="37" t="s">
        <v>47</v>
      </c>
      <c r="I3" s="37" t="s">
        <v>47</v>
      </c>
      <c r="J3" s="37" t="s">
        <v>47</v>
      </c>
      <c r="K3" s="37" t="s">
        <v>47</v>
      </c>
    </row>
    <row r="4" spans="2:11">
      <c r="B4" s="34" t="s">
        <v>31</v>
      </c>
      <c r="C4" s="53"/>
      <c r="D4" s="58"/>
      <c r="E4" s="35">
        <f>E7-E5+1</f>
        <v>365</v>
      </c>
      <c r="F4" s="36"/>
      <c r="G4" s="37">
        <f t="shared" ref="G4:K4" si="1">G7-G5+1</f>
        <v>365</v>
      </c>
      <c r="H4" s="37">
        <f t="shared" si="1"/>
        <v>366</v>
      </c>
      <c r="I4" s="37">
        <f t="shared" si="1"/>
        <v>365</v>
      </c>
      <c r="J4" s="37">
        <f t="shared" si="1"/>
        <v>365</v>
      </c>
      <c r="K4" s="37">
        <f t="shared" si="1"/>
        <v>365</v>
      </c>
    </row>
    <row r="5" spans="2:11">
      <c r="B5" s="34" t="s">
        <v>64</v>
      </c>
      <c r="C5" s="53"/>
      <c r="D5" s="58"/>
      <c r="E5" s="39">
        <v>46023</v>
      </c>
      <c r="F5" s="40">
        <v>46023</v>
      </c>
      <c r="G5" s="41">
        <f>E7+1</f>
        <v>46388</v>
      </c>
      <c r="H5" s="41">
        <f>G7+1</f>
        <v>46753</v>
      </c>
      <c r="I5" s="41">
        <f>H7+1</f>
        <v>47119</v>
      </c>
      <c r="J5" s="41">
        <f t="shared" ref="J5:K5" si="2">I7+1</f>
        <v>47484</v>
      </c>
      <c r="K5" s="41">
        <f t="shared" si="2"/>
        <v>47849</v>
      </c>
    </row>
    <row r="6" spans="2:11">
      <c r="B6" s="34"/>
      <c r="C6" s="53"/>
      <c r="D6" s="58"/>
      <c r="E6" s="39" t="s">
        <v>87</v>
      </c>
      <c r="F6" s="40" t="s">
        <v>88</v>
      </c>
      <c r="G6" s="41"/>
      <c r="H6" s="41"/>
      <c r="I6" s="41"/>
      <c r="J6" s="41"/>
      <c r="K6" s="41"/>
    </row>
    <row r="7" spans="2:11">
      <c r="B7" s="34" t="s">
        <v>13</v>
      </c>
      <c r="C7" s="53"/>
      <c r="D7" s="58"/>
      <c r="E7" s="39">
        <v>46387</v>
      </c>
      <c r="F7" s="40"/>
      <c r="G7" s="41">
        <v>46752</v>
      </c>
      <c r="H7" s="41">
        <v>47118</v>
      </c>
      <c r="I7" s="41">
        <v>47483</v>
      </c>
      <c r="J7" s="41">
        <v>47848</v>
      </c>
      <c r="K7" s="41">
        <v>48213</v>
      </c>
    </row>
    <row r="9" spans="2:11">
      <c r="B9" s="46" t="s">
        <v>101</v>
      </c>
      <c r="C9" s="55" t="s">
        <v>111</v>
      </c>
      <c r="D9" s="60" t="s">
        <v>113</v>
      </c>
      <c r="E9" s="47"/>
      <c r="F9" s="47"/>
      <c r="G9" s="48">
        <f>SUM(G10:G12)</f>
        <v>51920.010502283105</v>
      </c>
      <c r="H9" s="48">
        <f t="shared" ref="H9:K9" si="3">SUM(H10:H12)</f>
        <v>48335.335248566509</v>
      </c>
      <c r="I9" s="48">
        <f t="shared" si="3"/>
        <v>49683.356168402221</v>
      </c>
      <c r="J9" s="48">
        <f t="shared" si="3"/>
        <v>83890.517443751669</v>
      </c>
      <c r="K9" s="48">
        <f t="shared" si="3"/>
        <v>49560.147334527923</v>
      </c>
    </row>
    <row r="10" spans="2:11">
      <c r="B10" s="45" t="s">
        <v>4</v>
      </c>
      <c r="C10" s="56" t="s">
        <v>111</v>
      </c>
      <c r="D10" s="60" t="s">
        <v>113</v>
      </c>
      <c r="E10" s="42"/>
      <c r="F10" s="42"/>
      <c r="G10" s="43">
        <f>FS!G77</f>
        <v>3000</v>
      </c>
      <c r="H10" s="43">
        <f>FS!H77</f>
        <v>0</v>
      </c>
      <c r="I10" s="43">
        <f>FS!I77</f>
        <v>0</v>
      </c>
      <c r="J10" s="43">
        <f>FS!J77</f>
        <v>36157.476132248019</v>
      </c>
      <c r="K10" s="43">
        <f>FS!K77</f>
        <v>0</v>
      </c>
    </row>
    <row r="11" spans="2:11">
      <c r="B11" s="45" t="s">
        <v>97</v>
      </c>
      <c r="C11" s="56" t="s">
        <v>111</v>
      </c>
      <c r="D11" s="60" t="s">
        <v>113</v>
      </c>
      <c r="E11" s="42"/>
      <c r="F11" s="42"/>
      <c r="G11" s="43">
        <f>FS!G64</f>
        <v>53920.010502283105</v>
      </c>
      <c r="H11" s="43">
        <f>FS!H64</f>
        <v>49335.335248566509</v>
      </c>
      <c r="I11" s="43">
        <f>FS!I64</f>
        <v>50683.356168402221</v>
      </c>
      <c r="J11" s="43">
        <f>FS!J64</f>
        <v>48733.04131150365</v>
      </c>
      <c r="K11" s="43">
        <f>FS!K64</f>
        <v>50560.147334527923</v>
      </c>
    </row>
    <row r="12" spans="2:11">
      <c r="B12" s="45" t="s">
        <v>23</v>
      </c>
      <c r="C12" s="56" t="s">
        <v>111</v>
      </c>
      <c r="D12" s="60" t="s">
        <v>113</v>
      </c>
      <c r="E12" s="42"/>
      <c r="F12" s="42"/>
      <c r="G12" s="43">
        <f>FS!G69</f>
        <v>-5000</v>
      </c>
      <c r="H12" s="43">
        <f>FS!H69</f>
        <v>-1000</v>
      </c>
      <c r="I12" s="43">
        <f>FS!I69</f>
        <v>-1000</v>
      </c>
      <c r="J12" s="43">
        <f>FS!J69</f>
        <v>-1000</v>
      </c>
      <c r="K12" s="43">
        <f>FS!K69</f>
        <v>-1000</v>
      </c>
    </row>
    <row r="14" spans="2:11">
      <c r="B14" s="44" t="s">
        <v>93</v>
      </c>
      <c r="C14" s="57"/>
      <c r="D14" s="61"/>
      <c r="E14" s="44"/>
      <c r="F14" s="44"/>
      <c r="G14" s="44"/>
      <c r="H14" s="44"/>
      <c r="I14" s="44"/>
      <c r="J14" s="44"/>
      <c r="K14" s="44"/>
    </row>
    <row r="16" spans="2:11">
      <c r="B16" s="62" t="s">
        <v>114</v>
      </c>
    </row>
    <row r="17" spans="2:11">
      <c r="B17" s="52" t="s">
        <v>94</v>
      </c>
      <c r="C17" s="54" t="s">
        <v>111</v>
      </c>
      <c r="D17" s="59" t="s">
        <v>113</v>
      </c>
      <c r="F17" s="49">
        <v>0</v>
      </c>
      <c r="G17" s="49">
        <f>F22</f>
        <v>86400</v>
      </c>
      <c r="H17" s="49">
        <f t="shared" ref="H17:K17" si="4">G22</f>
        <v>45711.989497716895</v>
      </c>
      <c r="I17" s="49">
        <f t="shared" si="4"/>
        <v>6469.7736190134019</v>
      </c>
      <c r="J17" s="49">
        <f t="shared" si="4"/>
        <v>0</v>
      </c>
      <c r="K17" s="49">
        <f t="shared" si="4"/>
        <v>7399.1825562483282</v>
      </c>
    </row>
    <row r="18" spans="2:11">
      <c r="B18" s="63" t="s">
        <v>95</v>
      </c>
      <c r="C18" s="54" t="s">
        <v>111</v>
      </c>
      <c r="D18" s="59" t="s">
        <v>112</v>
      </c>
      <c r="F18" s="49">
        <f>Transaction!D12*Transaction!D20*Transaction!D25</f>
        <v>86400</v>
      </c>
      <c r="G18" s="49"/>
      <c r="H18" s="49"/>
      <c r="I18" s="49"/>
      <c r="J18" s="49"/>
      <c r="K18" s="49"/>
    </row>
    <row r="19" spans="2:11">
      <c r="B19" s="63" t="s">
        <v>107</v>
      </c>
      <c r="C19" s="54" t="s">
        <v>111</v>
      </c>
      <c r="D19" s="59" t="s">
        <v>113</v>
      </c>
      <c r="F19" s="49"/>
      <c r="G19" s="49">
        <f t="shared" ref="G19:H19" si="5">-IF(G17=0,0,$F$18*G30)</f>
        <v>-17280</v>
      </c>
      <c r="H19" s="49">
        <f t="shared" si="5"/>
        <v>-17280</v>
      </c>
      <c r="I19" s="49">
        <f>-IF(I17=0,0,$F$18*I30)</f>
        <v>-17280</v>
      </c>
      <c r="J19" s="49">
        <f t="shared" ref="J19:K19" si="6">-IF(J17=0,0,$F$18*J30)</f>
        <v>0</v>
      </c>
      <c r="K19" s="49">
        <f t="shared" si="6"/>
        <v>-17280</v>
      </c>
    </row>
    <row r="20" spans="2:11">
      <c r="B20" s="63" t="s">
        <v>109</v>
      </c>
      <c r="C20" s="54" t="s">
        <v>111</v>
      </c>
      <c r="D20" s="59" t="s">
        <v>113</v>
      </c>
      <c r="F20" s="49"/>
      <c r="G20" s="49"/>
      <c r="H20" s="49"/>
      <c r="I20" s="49"/>
      <c r="J20" s="49"/>
      <c r="K20" s="49"/>
    </row>
    <row r="21" spans="2:11">
      <c r="B21" s="63" t="s">
        <v>102</v>
      </c>
      <c r="C21" s="54" t="s">
        <v>111</v>
      </c>
      <c r="D21" s="59" t="s">
        <v>113</v>
      </c>
      <c r="F21" s="49"/>
      <c r="G21" s="49">
        <f>-IF(G34="ON",MIN(G37,G17+G19),0)</f>
        <v>-23408.010502283105</v>
      </c>
      <c r="H21" s="49">
        <f t="shared" ref="H21:K21" si="7">-IF(H34="ON",MIN(H37,H17+H19),0)</f>
        <v>-21962.215878703493</v>
      </c>
      <c r="I21" s="49">
        <f t="shared" si="7"/>
        <v>10810.226380986598</v>
      </c>
      <c r="J21" s="49">
        <f t="shared" si="7"/>
        <v>7399.1825562483282</v>
      </c>
      <c r="K21" s="49">
        <f t="shared" si="7"/>
        <v>9880.8174437516718</v>
      </c>
    </row>
    <row r="22" spans="2:11">
      <c r="B22" s="52" t="s">
        <v>96</v>
      </c>
      <c r="C22" s="54" t="s">
        <v>111</v>
      </c>
      <c r="D22" s="59" t="s">
        <v>113</v>
      </c>
      <c r="F22" s="49">
        <f>SUM(F17:F21)</f>
        <v>86400</v>
      </c>
      <c r="G22" s="49">
        <f>SUM(G17:G21)</f>
        <v>45711.989497716895</v>
      </c>
      <c r="H22" s="49">
        <f t="shared" ref="H22:K22" si="8">SUM(H17:H21)</f>
        <v>6469.7736190134019</v>
      </c>
      <c r="I22" s="49">
        <f t="shared" si="8"/>
        <v>0</v>
      </c>
      <c r="J22" s="49">
        <f t="shared" si="8"/>
        <v>7399.1825562483282</v>
      </c>
      <c r="K22" s="49">
        <f t="shared" si="8"/>
        <v>0</v>
      </c>
    </row>
    <row r="24" spans="2:11">
      <c r="B24" s="62" t="s">
        <v>115</v>
      </c>
    </row>
    <row r="25" spans="2:11">
      <c r="B25" s="52" t="s">
        <v>94</v>
      </c>
      <c r="C25" s="54" t="s">
        <v>111</v>
      </c>
      <c r="D25" s="59" t="s">
        <v>113</v>
      </c>
      <c r="G25" s="49">
        <f>F28</f>
        <v>0</v>
      </c>
      <c r="H25" s="49">
        <f t="shared" ref="H25:K25" si="9">G28</f>
        <v>0</v>
      </c>
      <c r="I25" s="49">
        <f t="shared" si="9"/>
        <v>0</v>
      </c>
      <c r="J25" s="49">
        <f t="shared" si="9"/>
        <v>0</v>
      </c>
      <c r="K25" s="49">
        <f t="shared" si="9"/>
        <v>0</v>
      </c>
    </row>
    <row r="26" spans="2:11">
      <c r="B26" s="63" t="s">
        <v>99</v>
      </c>
      <c r="C26" s="54" t="s">
        <v>111</v>
      </c>
      <c r="D26" s="59" t="s">
        <v>113</v>
      </c>
      <c r="G26" s="49">
        <f>SUM(G31)*G17</f>
        <v>5184</v>
      </c>
      <c r="H26" s="49">
        <f t="shared" ref="H26:K26" si="10">SUM(H31)*H17</f>
        <v>2742.7193698630135</v>
      </c>
      <c r="I26" s="49">
        <f t="shared" si="10"/>
        <v>388.18641714080411</v>
      </c>
      <c r="J26" s="49">
        <f t="shared" si="10"/>
        <v>0</v>
      </c>
      <c r="K26" s="49">
        <f t="shared" si="10"/>
        <v>443.95095337489965</v>
      </c>
    </row>
    <row r="27" spans="2:11">
      <c r="B27" s="63" t="s">
        <v>100</v>
      </c>
      <c r="C27" s="54" t="s">
        <v>111</v>
      </c>
      <c r="D27" s="59" t="s">
        <v>113</v>
      </c>
      <c r="G27" s="49">
        <f>-G26</f>
        <v>-5184</v>
      </c>
      <c r="H27" s="49">
        <f t="shared" ref="H27:K27" si="11">-H26</f>
        <v>-2742.7193698630135</v>
      </c>
      <c r="I27" s="49">
        <f t="shared" si="11"/>
        <v>-388.18641714080411</v>
      </c>
      <c r="J27" s="49">
        <f t="shared" si="11"/>
        <v>0</v>
      </c>
      <c r="K27" s="49">
        <f t="shared" si="11"/>
        <v>-443.95095337489965</v>
      </c>
    </row>
    <row r="28" spans="2:11">
      <c r="B28" s="52" t="s">
        <v>96</v>
      </c>
      <c r="C28" s="54" t="s">
        <v>111</v>
      </c>
      <c r="D28" s="59" t="s">
        <v>113</v>
      </c>
      <c r="G28" s="49">
        <f>SUM(G25:G27)</f>
        <v>0</v>
      </c>
      <c r="H28" s="49">
        <f t="shared" ref="H28:K28" si="12">SUM(H25:H27)</f>
        <v>0</v>
      </c>
      <c r="I28" s="49">
        <f t="shared" si="12"/>
        <v>0</v>
      </c>
      <c r="J28" s="49">
        <f t="shared" si="12"/>
        <v>0</v>
      </c>
      <c r="K28" s="49">
        <f t="shared" si="12"/>
        <v>0</v>
      </c>
    </row>
    <row r="29" spans="2:11">
      <c r="G29" s="49"/>
      <c r="H29" s="49"/>
      <c r="I29" s="49"/>
      <c r="J29" s="49"/>
      <c r="K29" s="49"/>
    </row>
    <row r="30" spans="2:11">
      <c r="B30" s="64" t="s">
        <v>74</v>
      </c>
      <c r="C30" s="65" t="s">
        <v>1</v>
      </c>
      <c r="D30" s="66" t="s">
        <v>112</v>
      </c>
      <c r="E30" s="64"/>
      <c r="F30" s="64"/>
      <c r="G30" s="67">
        <f>Transaction!F25</f>
        <v>0.2</v>
      </c>
      <c r="H30" s="68">
        <f>G30</f>
        <v>0.2</v>
      </c>
      <c r="I30" s="68">
        <f t="shared" ref="I30:K30" si="13">H30</f>
        <v>0.2</v>
      </c>
      <c r="J30" s="68">
        <f t="shared" si="13"/>
        <v>0.2</v>
      </c>
      <c r="K30" s="68">
        <f t="shared" si="13"/>
        <v>0.2</v>
      </c>
    </row>
    <row r="31" spans="2:11">
      <c r="B31" s="64" t="s">
        <v>75</v>
      </c>
      <c r="C31" s="65" t="s">
        <v>1</v>
      </c>
      <c r="D31" s="66" t="s">
        <v>112</v>
      </c>
      <c r="E31" s="64"/>
      <c r="F31" s="64"/>
      <c r="G31" s="67">
        <f>Transaction!G25</f>
        <v>0.06</v>
      </c>
      <c r="H31" s="68">
        <f>G31</f>
        <v>0.06</v>
      </c>
      <c r="I31" s="68">
        <f t="shared" ref="I31:K31" si="14">H31</f>
        <v>0.06</v>
      </c>
      <c r="J31" s="68">
        <f t="shared" si="14"/>
        <v>0.06</v>
      </c>
      <c r="K31" s="68">
        <f t="shared" si="14"/>
        <v>0.06</v>
      </c>
    </row>
    <row r="32" spans="2:11">
      <c r="B32" s="64" t="s">
        <v>76</v>
      </c>
      <c r="C32" s="65" t="s">
        <v>1</v>
      </c>
      <c r="D32" s="66" t="s">
        <v>112</v>
      </c>
      <c r="E32" s="64"/>
      <c r="F32" s="64"/>
      <c r="G32" s="68">
        <f>Transaction!H25</f>
        <v>0</v>
      </c>
      <c r="H32" s="68">
        <f>G32</f>
        <v>0</v>
      </c>
      <c r="I32" s="68">
        <f t="shared" ref="I32:K32" si="15">H32</f>
        <v>0</v>
      </c>
      <c r="J32" s="68">
        <f t="shared" si="15"/>
        <v>0</v>
      </c>
      <c r="K32" s="68">
        <f t="shared" si="15"/>
        <v>0</v>
      </c>
    </row>
    <row r="34" spans="2:11">
      <c r="B34" s="38" t="s">
        <v>98</v>
      </c>
      <c r="C34" s="54" t="s">
        <v>111</v>
      </c>
      <c r="G34" s="51" t="str">
        <f>Transaction!I25</f>
        <v>ON</v>
      </c>
      <c r="H34" s="51" t="str">
        <f>G34</f>
        <v>ON</v>
      </c>
      <c r="I34" s="51" t="str">
        <f t="shared" ref="I34:K34" si="16">H34</f>
        <v>ON</v>
      </c>
      <c r="J34" s="51" t="str">
        <f t="shared" si="16"/>
        <v>ON</v>
      </c>
      <c r="K34" s="51" t="str">
        <f t="shared" si="16"/>
        <v>ON</v>
      </c>
    </row>
    <row r="36" spans="2:11">
      <c r="B36" s="38" t="s">
        <v>103</v>
      </c>
      <c r="C36" s="54" t="s">
        <v>111</v>
      </c>
      <c r="D36" s="59" t="s">
        <v>113</v>
      </c>
      <c r="G36" s="50">
        <f>G9+G19+G27</f>
        <v>29456.010502283105</v>
      </c>
      <c r="H36" s="50">
        <f>H9+H19+H27</f>
        <v>28312.615878703495</v>
      </c>
      <c r="I36" s="50">
        <f>I9+I19+I27</f>
        <v>32015.169751261416</v>
      </c>
      <c r="J36" s="50">
        <f>J9+J19+J27</f>
        <v>83890.517443751669</v>
      </c>
      <c r="K36" s="50">
        <f>K9+K19+K27</f>
        <v>31836.196381153022</v>
      </c>
    </row>
    <row r="37" spans="2:11">
      <c r="B37" s="38" t="s">
        <v>110</v>
      </c>
      <c r="C37" s="54" t="s">
        <v>111</v>
      </c>
      <c r="D37" s="59" t="s">
        <v>113</v>
      </c>
      <c r="G37" s="50">
        <f>G83</f>
        <v>23408.010502283105</v>
      </c>
      <c r="H37" s="50">
        <f t="shared" ref="H37:K37" si="17">H83</f>
        <v>21962.215878703493</v>
      </c>
      <c r="I37" s="50">
        <f t="shared" si="17"/>
        <v>25347.249751261414</v>
      </c>
      <c r="J37" s="50">
        <f t="shared" si="17"/>
        <v>-7399.1825562483282</v>
      </c>
      <c r="K37" s="50">
        <f t="shared" si="17"/>
        <v>24484.814581153023</v>
      </c>
    </row>
    <row r="39" spans="2:11">
      <c r="B39" s="44" t="s">
        <v>67</v>
      </c>
      <c r="C39" s="57"/>
      <c r="D39" s="61"/>
      <c r="E39" s="44"/>
      <c r="F39" s="44"/>
      <c r="G39" s="44"/>
      <c r="H39" s="44"/>
      <c r="I39" s="44"/>
      <c r="J39" s="44"/>
      <c r="K39" s="44"/>
    </row>
    <row r="40" spans="2:11">
      <c r="F40" s="49"/>
      <c r="G40" s="49"/>
      <c r="H40" s="49"/>
      <c r="I40" s="49"/>
      <c r="J40" s="49"/>
      <c r="K40" s="49"/>
    </row>
    <row r="41" spans="2:11">
      <c r="B41" s="62" t="s">
        <v>114</v>
      </c>
      <c r="F41" s="49"/>
      <c r="G41" s="49"/>
      <c r="H41" s="49"/>
      <c r="I41" s="49"/>
      <c r="J41" s="49"/>
      <c r="K41" s="49"/>
    </row>
    <row r="42" spans="2:11">
      <c r="B42" s="52" t="s">
        <v>94</v>
      </c>
      <c r="C42" s="54" t="s">
        <v>111</v>
      </c>
      <c r="D42" s="59" t="s">
        <v>113</v>
      </c>
      <c r="F42" s="49">
        <v>0</v>
      </c>
      <c r="G42" s="49">
        <f>F46</f>
        <v>75600</v>
      </c>
      <c r="H42" s="49">
        <f t="shared" ref="H42:K42" si="18">G46</f>
        <v>79380</v>
      </c>
      <c r="I42" s="49">
        <f t="shared" si="18"/>
        <v>83349</v>
      </c>
      <c r="J42" s="49">
        <f t="shared" si="18"/>
        <v>87516.45</v>
      </c>
      <c r="K42" s="49">
        <f t="shared" si="18"/>
        <v>91892.272499999992</v>
      </c>
    </row>
    <row r="43" spans="2:11">
      <c r="B43" s="63" t="s">
        <v>95</v>
      </c>
      <c r="C43" s="54" t="s">
        <v>111</v>
      </c>
      <c r="D43" s="59" t="s">
        <v>112</v>
      </c>
      <c r="F43" s="49">
        <f>Transaction!D12*Transaction!D20*Transaction!D26</f>
        <v>75600</v>
      </c>
      <c r="G43" s="49"/>
      <c r="H43" s="49"/>
      <c r="I43" s="49"/>
      <c r="J43" s="49"/>
      <c r="K43" s="49"/>
    </row>
    <row r="44" spans="2:11">
      <c r="B44" s="63" t="s">
        <v>106</v>
      </c>
      <c r="C44" s="54" t="s">
        <v>111</v>
      </c>
      <c r="D44" s="59" t="s">
        <v>113</v>
      </c>
      <c r="F44" s="49"/>
      <c r="G44" s="49">
        <f>G56*G42</f>
        <v>3780</v>
      </c>
      <c r="H44" s="49">
        <f>H56*H42</f>
        <v>3969</v>
      </c>
      <c r="I44" s="49">
        <f>I56*I42</f>
        <v>4167.45</v>
      </c>
      <c r="J44" s="49">
        <f>J56*J42</f>
        <v>4375.8225000000002</v>
      </c>
      <c r="K44" s="49">
        <f>K56*K42</f>
        <v>4594.613625</v>
      </c>
    </row>
    <row r="45" spans="2:11">
      <c r="B45" s="63" t="s">
        <v>108</v>
      </c>
      <c r="C45" s="54" t="s">
        <v>111</v>
      </c>
      <c r="D45" s="59" t="s">
        <v>113</v>
      </c>
      <c r="F45" s="49"/>
      <c r="G45" s="49"/>
      <c r="H45" s="49"/>
      <c r="I45" s="49"/>
      <c r="J45" s="49"/>
      <c r="K45" s="49"/>
    </row>
    <row r="46" spans="2:11">
      <c r="B46" s="52" t="s">
        <v>96</v>
      </c>
      <c r="C46" s="54" t="s">
        <v>111</v>
      </c>
      <c r="D46" s="59" t="s">
        <v>113</v>
      </c>
      <c r="F46" s="49">
        <f>SUM(F42:F43)</f>
        <v>75600</v>
      </c>
      <c r="G46" s="49">
        <f>SUM(G42:G45)</f>
        <v>79380</v>
      </c>
      <c r="H46" s="49">
        <f>SUM(H42:H45)</f>
        <v>83349</v>
      </c>
      <c r="I46" s="49">
        <f>SUM(I42:I45)</f>
        <v>87516.45</v>
      </c>
      <c r="J46" s="49">
        <f>SUM(J42:J45)</f>
        <v>91892.272499999992</v>
      </c>
      <c r="K46" s="49">
        <f>SUM(K42:K45)</f>
        <v>96486.88612499999</v>
      </c>
    </row>
    <row r="47" spans="2:11">
      <c r="F47" s="49"/>
      <c r="G47" s="49"/>
      <c r="H47" s="49"/>
      <c r="I47" s="49"/>
      <c r="J47" s="49"/>
      <c r="K47" s="49"/>
    </row>
    <row r="48" spans="2:11">
      <c r="B48" s="62" t="s">
        <v>115</v>
      </c>
      <c r="F48" s="49"/>
      <c r="G48" s="49"/>
      <c r="H48" s="49"/>
      <c r="I48" s="49"/>
      <c r="J48" s="49"/>
      <c r="K48" s="49"/>
    </row>
    <row r="49" spans="2:11">
      <c r="B49" s="52" t="s">
        <v>94</v>
      </c>
      <c r="C49" s="54" t="s">
        <v>111</v>
      </c>
      <c r="D49" s="59" t="s">
        <v>113</v>
      </c>
      <c r="F49" s="49"/>
      <c r="G49" s="49">
        <f>F52</f>
        <v>0</v>
      </c>
      <c r="H49" s="49">
        <f t="shared" ref="H49:K49" si="19">G52</f>
        <v>0</v>
      </c>
      <c r="I49" s="49">
        <f t="shared" si="19"/>
        <v>0</v>
      </c>
      <c r="J49" s="49">
        <f t="shared" si="19"/>
        <v>0</v>
      </c>
      <c r="K49" s="49">
        <f t="shared" si="19"/>
        <v>0</v>
      </c>
    </row>
    <row r="50" spans="2:11">
      <c r="B50" s="63" t="s">
        <v>95</v>
      </c>
      <c r="C50" s="54" t="s">
        <v>111</v>
      </c>
      <c r="D50" s="59" t="s">
        <v>113</v>
      </c>
      <c r="F50" s="49"/>
      <c r="G50" s="49">
        <f>SUM(G55)*G42</f>
        <v>6048</v>
      </c>
      <c r="H50" s="49">
        <f>SUM(H55)*H42</f>
        <v>6350.4000000000005</v>
      </c>
      <c r="I50" s="49">
        <f>SUM(I55)*I42</f>
        <v>6667.92</v>
      </c>
      <c r="J50" s="49">
        <f>SUM(J55)*J42</f>
        <v>7001.3159999999998</v>
      </c>
      <c r="K50" s="49">
        <f>SUM(K55)*K42</f>
        <v>7351.3817999999992</v>
      </c>
    </row>
    <row r="51" spans="2:11">
      <c r="B51" s="63" t="s">
        <v>100</v>
      </c>
      <c r="C51" s="54" t="s">
        <v>111</v>
      </c>
      <c r="D51" s="59" t="s">
        <v>113</v>
      </c>
      <c r="F51" s="49"/>
      <c r="G51" s="49">
        <f>-G55*G42</f>
        <v>-6048</v>
      </c>
      <c r="H51" s="49">
        <f t="shared" ref="H51" si="20">-H50</f>
        <v>-6350.4000000000005</v>
      </c>
      <c r="I51" s="49">
        <f t="shared" ref="I51" si="21">-I50</f>
        <v>-6667.92</v>
      </c>
      <c r="J51" s="49">
        <f t="shared" ref="J51" si="22">-J50</f>
        <v>-7001.3159999999998</v>
      </c>
      <c r="K51" s="49">
        <f t="shared" ref="K51" si="23">-K50</f>
        <v>-7351.3817999999992</v>
      </c>
    </row>
    <row r="52" spans="2:11">
      <c r="B52" s="52" t="s">
        <v>96</v>
      </c>
      <c r="C52" s="54" t="s">
        <v>111</v>
      </c>
      <c r="D52" s="59" t="s">
        <v>113</v>
      </c>
      <c r="F52" s="49"/>
      <c r="G52" s="49">
        <f>SUM(G49:G51)</f>
        <v>0</v>
      </c>
      <c r="H52" s="49">
        <f t="shared" ref="H52" si="24">SUM(H49:H51)</f>
        <v>0</v>
      </c>
      <c r="I52" s="49">
        <f t="shared" ref="I52" si="25">SUM(I49:I51)</f>
        <v>0</v>
      </c>
      <c r="J52" s="49">
        <f t="shared" ref="J52" si="26">SUM(J49:J51)</f>
        <v>0</v>
      </c>
      <c r="K52" s="49">
        <f t="shared" ref="K52" si="27">SUM(K49:K51)</f>
        <v>0</v>
      </c>
    </row>
    <row r="54" spans="2:11">
      <c r="B54" s="64" t="s">
        <v>74</v>
      </c>
      <c r="C54" s="65" t="s">
        <v>1</v>
      </c>
      <c r="D54" s="66" t="s">
        <v>112</v>
      </c>
      <c r="E54" s="64"/>
      <c r="F54" s="64"/>
      <c r="G54" s="67">
        <f>Transaction!F26</f>
        <v>0</v>
      </c>
      <c r="H54" s="68">
        <f>G54</f>
        <v>0</v>
      </c>
      <c r="I54" s="68">
        <f>H54</f>
        <v>0</v>
      </c>
      <c r="J54" s="68">
        <f>I54</f>
        <v>0</v>
      </c>
      <c r="K54" s="68">
        <f>J54</f>
        <v>0</v>
      </c>
    </row>
    <row r="55" spans="2:11">
      <c r="B55" s="64" t="s">
        <v>75</v>
      </c>
      <c r="C55" s="65" t="s">
        <v>1</v>
      </c>
      <c r="D55" s="66" t="s">
        <v>112</v>
      </c>
      <c r="E55" s="64"/>
      <c r="F55" s="64"/>
      <c r="G55" s="67">
        <f>Transaction!G26</f>
        <v>0.08</v>
      </c>
      <c r="H55" s="68">
        <f>G55</f>
        <v>0.08</v>
      </c>
      <c r="I55" s="68">
        <f t="shared" ref="I55:K55" si="28">H55</f>
        <v>0.08</v>
      </c>
      <c r="J55" s="68">
        <f t="shared" si="28"/>
        <v>0.08</v>
      </c>
      <c r="K55" s="68">
        <f t="shared" si="28"/>
        <v>0.08</v>
      </c>
    </row>
    <row r="56" spans="2:11">
      <c r="B56" s="64" t="s">
        <v>76</v>
      </c>
      <c r="C56" s="65" t="s">
        <v>1</v>
      </c>
      <c r="D56" s="66" t="s">
        <v>112</v>
      </c>
      <c r="E56" s="64"/>
      <c r="F56" s="64"/>
      <c r="G56" s="68">
        <f>Transaction!H26</f>
        <v>0.05</v>
      </c>
      <c r="H56" s="68">
        <f>G56</f>
        <v>0.05</v>
      </c>
      <c r="I56" s="68">
        <f t="shared" ref="I56:K56" si="29">H56</f>
        <v>0.05</v>
      </c>
      <c r="J56" s="68">
        <f t="shared" si="29"/>
        <v>0.05</v>
      </c>
      <c r="K56" s="68">
        <f t="shared" si="29"/>
        <v>0.05</v>
      </c>
    </row>
    <row r="58" spans="2:11">
      <c r="B58" s="38" t="s">
        <v>98</v>
      </c>
      <c r="G58" s="51" t="str">
        <f>Transaction!I26</f>
        <v>OFF</v>
      </c>
      <c r="H58" s="51" t="str">
        <f>G58</f>
        <v>OFF</v>
      </c>
      <c r="I58" s="51" t="str">
        <f t="shared" ref="I58:K58" si="30">H58</f>
        <v>OFF</v>
      </c>
      <c r="J58" s="51" t="str">
        <f t="shared" si="30"/>
        <v>OFF</v>
      </c>
      <c r="K58" s="51" t="str">
        <f t="shared" si="30"/>
        <v>OFF</v>
      </c>
    </row>
    <row r="60" spans="2:11">
      <c r="B60" s="38" t="s">
        <v>104</v>
      </c>
      <c r="C60" s="54" t="s">
        <v>111</v>
      </c>
      <c r="G60" s="50">
        <f>G36+G51+G45</f>
        <v>23408.010502283105</v>
      </c>
      <c r="H60" s="50">
        <f t="shared" ref="H60:K60" si="31">H36+H51+H45</f>
        <v>21962.215878703493</v>
      </c>
      <c r="I60" s="50">
        <f t="shared" si="31"/>
        <v>25347.249751261414</v>
      </c>
      <c r="J60" s="50">
        <f t="shared" si="31"/>
        <v>76889.201443751663</v>
      </c>
      <c r="K60" s="50">
        <f t="shared" si="31"/>
        <v>24484.814581153023</v>
      </c>
    </row>
    <row r="62" spans="2:11">
      <c r="B62" s="44" t="s">
        <v>77</v>
      </c>
      <c r="C62" s="57"/>
      <c r="D62" s="61"/>
      <c r="E62" s="44"/>
      <c r="F62" s="44"/>
      <c r="G62" s="44"/>
      <c r="H62" s="44"/>
      <c r="I62" s="44"/>
      <c r="J62" s="44"/>
      <c r="K62" s="44"/>
    </row>
    <row r="64" spans="2:11">
      <c r="B64" s="62" t="s">
        <v>114</v>
      </c>
    </row>
    <row r="65" spans="2:11">
      <c r="B65" s="52" t="s">
        <v>94</v>
      </c>
      <c r="C65" s="54" t="s">
        <v>111</v>
      </c>
      <c r="D65" s="59" t="s">
        <v>113</v>
      </c>
      <c r="F65" s="49">
        <v>0</v>
      </c>
      <c r="G65" s="49">
        <f>F69</f>
        <v>54000</v>
      </c>
      <c r="H65" s="49">
        <f t="shared" ref="H65:K65" si="32">G69</f>
        <v>62640</v>
      </c>
      <c r="I65" s="49">
        <f t="shared" si="32"/>
        <v>72662.399999999994</v>
      </c>
      <c r="J65" s="49">
        <f t="shared" si="32"/>
        <v>84288.383999999991</v>
      </c>
      <c r="K65" s="49">
        <f t="shared" si="32"/>
        <v>0</v>
      </c>
    </row>
    <row r="66" spans="2:11">
      <c r="B66" s="63" t="s">
        <v>95</v>
      </c>
      <c r="C66" s="54" t="s">
        <v>111</v>
      </c>
      <c r="D66" s="59" t="s">
        <v>112</v>
      </c>
      <c r="F66" s="49">
        <f>Transaction!D12*Transaction!D20*Transaction!D27</f>
        <v>54000</v>
      </c>
      <c r="G66" s="49"/>
      <c r="H66" s="49"/>
      <c r="I66" s="49"/>
      <c r="J66" s="49"/>
      <c r="K66" s="49"/>
    </row>
    <row r="67" spans="2:11">
      <c r="B67" s="63" t="s">
        <v>106</v>
      </c>
      <c r="C67" s="54" t="s">
        <v>111</v>
      </c>
      <c r="D67" s="59" t="s">
        <v>113</v>
      </c>
      <c r="F67" s="49"/>
      <c r="G67" s="49">
        <f>IF(G68&lt;0,0,G65*G79)</f>
        <v>8640</v>
      </c>
      <c r="H67" s="49">
        <f>IF(H68&lt;0,0,H65*H79)</f>
        <v>10022.4</v>
      </c>
      <c r="I67" s="49">
        <f>IF(I68&lt;0,0,I65*I79)</f>
        <v>11625.983999999999</v>
      </c>
      <c r="J67" s="49">
        <f>IF(J68&lt;0,0,J65*J79)</f>
        <v>0</v>
      </c>
      <c r="K67" s="49">
        <f>IF(K68&lt;0,0,K65*K79)</f>
        <v>0</v>
      </c>
    </row>
    <row r="68" spans="2:11">
      <c r="B68" s="63" t="s">
        <v>108</v>
      </c>
      <c r="C68" s="54" t="s">
        <v>111</v>
      </c>
      <c r="D68" s="59" t="s">
        <v>113</v>
      </c>
      <c r="F68" s="49"/>
      <c r="G68" s="49"/>
      <c r="H68" s="49">
        <f>IF(H$2=('Debt Schedule'!$E$2+Transaction!$E$27),-'Debt Schedule'!H65,0)</f>
        <v>0</v>
      </c>
      <c r="I68" s="49">
        <f>IF(I$2=('Debt Schedule'!$E$2+Transaction!$E$27),-'Debt Schedule'!I65,0)</f>
        <v>0</v>
      </c>
      <c r="J68" s="49">
        <f>IF(J$2=('Debt Schedule'!$E$2+Transaction!$E$27),-'Debt Schedule'!J65,0)</f>
        <v>-84288.383999999991</v>
      </c>
      <c r="K68" s="49">
        <f>IF(K$2=('Debt Schedule'!$E$2+Transaction!$E$27),-'Debt Schedule'!K65,0)</f>
        <v>0</v>
      </c>
    </row>
    <row r="69" spans="2:11">
      <c r="B69" s="52" t="s">
        <v>96</v>
      </c>
      <c r="C69" s="54" t="s">
        <v>111</v>
      </c>
      <c r="D69" s="59" t="s">
        <v>113</v>
      </c>
      <c r="F69" s="49">
        <f>SUM(F65:F66)</f>
        <v>54000</v>
      </c>
      <c r="G69" s="49">
        <f>SUM(G65:G68)</f>
        <v>62640</v>
      </c>
      <c r="H69" s="49">
        <f>SUM(H65:H68)</f>
        <v>72662.399999999994</v>
      </c>
      <c r="I69" s="49">
        <f>SUM(I65:I68)</f>
        <v>84288.383999999991</v>
      </c>
      <c r="J69" s="49">
        <f>SUM(J65:J68)</f>
        <v>0</v>
      </c>
      <c r="K69" s="49">
        <f>SUM(K65:K68)</f>
        <v>0</v>
      </c>
    </row>
    <row r="70" spans="2:11">
      <c r="F70" s="49"/>
      <c r="G70" s="49"/>
      <c r="H70" s="49"/>
      <c r="I70" s="49"/>
      <c r="J70" s="49"/>
      <c r="K70" s="49"/>
    </row>
    <row r="71" spans="2:11">
      <c r="B71" s="62" t="s">
        <v>115</v>
      </c>
      <c r="F71" s="49"/>
      <c r="G71" s="49"/>
      <c r="H71" s="49"/>
      <c r="I71" s="49"/>
      <c r="J71" s="49"/>
      <c r="K71" s="49"/>
    </row>
    <row r="72" spans="2:11">
      <c r="B72" s="52" t="s">
        <v>94</v>
      </c>
      <c r="C72" s="54" t="s">
        <v>111</v>
      </c>
      <c r="D72" s="59" t="s">
        <v>113</v>
      </c>
      <c r="F72" s="49">
        <f>E75</f>
        <v>0</v>
      </c>
      <c r="G72" s="49">
        <f t="shared" ref="G72:J72" si="33">F75</f>
        <v>0</v>
      </c>
      <c r="H72" s="49">
        <f t="shared" si="33"/>
        <v>0</v>
      </c>
      <c r="I72" s="49">
        <f t="shared" si="33"/>
        <v>0</v>
      </c>
      <c r="J72" s="49">
        <f t="shared" si="33"/>
        <v>0</v>
      </c>
      <c r="K72" s="49"/>
    </row>
    <row r="73" spans="2:11">
      <c r="B73" s="63" t="s">
        <v>95</v>
      </c>
      <c r="C73" s="54" t="s">
        <v>111</v>
      </c>
      <c r="D73" s="59" t="s">
        <v>113</v>
      </c>
      <c r="F73" s="49">
        <f>SUM(F77)*F62</f>
        <v>0</v>
      </c>
      <c r="G73" s="49">
        <f>SUM(G77)*G62</f>
        <v>0</v>
      </c>
      <c r="H73" s="49">
        <f>SUM(H77)*H62</f>
        <v>0</v>
      </c>
      <c r="I73" s="49">
        <f>SUM(I77)*I62</f>
        <v>0</v>
      </c>
      <c r="J73" s="49">
        <f>SUM(J77)*J62</f>
        <v>0</v>
      </c>
      <c r="K73" s="49"/>
    </row>
    <row r="74" spans="2:11">
      <c r="B74" s="63" t="s">
        <v>100</v>
      </c>
      <c r="C74" s="54" t="s">
        <v>111</v>
      </c>
      <c r="D74" s="59" t="s">
        <v>113</v>
      </c>
      <c r="F74" s="49">
        <f>-F77*F62</f>
        <v>0</v>
      </c>
      <c r="G74" s="49">
        <f t="shared" ref="G74" si="34">-G73</f>
        <v>0</v>
      </c>
      <c r="H74" s="49">
        <f t="shared" ref="H74" si="35">-H73</f>
        <v>0</v>
      </c>
      <c r="I74" s="49">
        <f t="shared" ref="I74" si="36">-I73</f>
        <v>0</v>
      </c>
      <c r="J74" s="49">
        <f t="shared" ref="J74" si="37">-J73</f>
        <v>0</v>
      </c>
      <c r="K74" s="49"/>
    </row>
    <row r="75" spans="2:11">
      <c r="B75" s="52" t="s">
        <v>96</v>
      </c>
      <c r="C75" s="54" t="s">
        <v>111</v>
      </c>
      <c r="D75" s="59" t="s">
        <v>113</v>
      </c>
      <c r="F75" s="49">
        <f>SUM(F72:F74)</f>
        <v>0</v>
      </c>
      <c r="G75" s="49">
        <f t="shared" ref="G75" si="38">SUM(G72:G74)</f>
        <v>0</v>
      </c>
      <c r="H75" s="49">
        <f t="shared" ref="H75" si="39">SUM(H72:H74)</f>
        <v>0</v>
      </c>
      <c r="I75" s="49">
        <f t="shared" ref="I75" si="40">SUM(I72:I74)</f>
        <v>0</v>
      </c>
      <c r="J75" s="49">
        <f t="shared" ref="J75" si="41">SUM(J72:J74)</f>
        <v>0</v>
      </c>
      <c r="K75" s="49"/>
    </row>
    <row r="77" spans="2:11">
      <c r="B77" s="64" t="s">
        <v>74</v>
      </c>
      <c r="C77" s="65" t="s">
        <v>1</v>
      </c>
      <c r="D77" s="66" t="s">
        <v>112</v>
      </c>
      <c r="E77" s="64"/>
      <c r="F77" s="64"/>
      <c r="G77" s="67">
        <f>Transaction!F27</f>
        <v>0</v>
      </c>
      <c r="H77" s="68">
        <f>G77</f>
        <v>0</v>
      </c>
      <c r="I77" s="68">
        <f>H77</f>
        <v>0</v>
      </c>
      <c r="J77" s="68">
        <f>I77</f>
        <v>0</v>
      </c>
      <c r="K77" s="68">
        <f>J77</f>
        <v>0</v>
      </c>
    </row>
    <row r="78" spans="2:11">
      <c r="B78" s="64" t="s">
        <v>75</v>
      </c>
      <c r="C78" s="65" t="s">
        <v>1</v>
      </c>
      <c r="D78" s="66" t="s">
        <v>112</v>
      </c>
      <c r="E78" s="64"/>
      <c r="F78" s="64"/>
      <c r="G78" s="67">
        <f>Transaction!G27</f>
        <v>0</v>
      </c>
      <c r="H78" s="68">
        <f>G78</f>
        <v>0</v>
      </c>
      <c r="I78" s="68">
        <f t="shared" ref="I78:K78" si="42">H78</f>
        <v>0</v>
      </c>
      <c r="J78" s="68">
        <f t="shared" si="42"/>
        <v>0</v>
      </c>
      <c r="K78" s="68">
        <f t="shared" si="42"/>
        <v>0</v>
      </c>
    </row>
    <row r="79" spans="2:11">
      <c r="B79" s="64" t="s">
        <v>76</v>
      </c>
      <c r="C79" s="65" t="s">
        <v>1</v>
      </c>
      <c r="D79" s="66" t="s">
        <v>112</v>
      </c>
      <c r="E79" s="64"/>
      <c r="F79" s="64"/>
      <c r="G79" s="68">
        <f>Transaction!H27</f>
        <v>0.16</v>
      </c>
      <c r="H79" s="68">
        <f>G79</f>
        <v>0.16</v>
      </c>
      <c r="I79" s="68">
        <f t="shared" ref="I79:K79" si="43">H79</f>
        <v>0.16</v>
      </c>
      <c r="J79" s="68">
        <f t="shared" si="43"/>
        <v>0.16</v>
      </c>
      <c r="K79" s="68">
        <f t="shared" si="43"/>
        <v>0.16</v>
      </c>
    </row>
    <row r="81" spans="2:11">
      <c r="B81" s="38" t="s">
        <v>98</v>
      </c>
      <c r="G81" s="51" t="str">
        <f>Transaction!I27</f>
        <v>OFF</v>
      </c>
      <c r="H81" s="51" t="str">
        <f>G81</f>
        <v>OFF</v>
      </c>
      <c r="I81" s="51" t="str">
        <f t="shared" ref="I81:K81" si="44">H81</f>
        <v>OFF</v>
      </c>
      <c r="J81" s="51" t="str">
        <f t="shared" si="44"/>
        <v>OFF</v>
      </c>
      <c r="K81" s="51" t="str">
        <f t="shared" si="44"/>
        <v>OFF</v>
      </c>
    </row>
    <row r="83" spans="2:11">
      <c r="B83" s="38" t="s">
        <v>105</v>
      </c>
      <c r="C83" s="54" t="s">
        <v>111</v>
      </c>
      <c r="D83" s="59" t="s">
        <v>113</v>
      </c>
      <c r="G83" s="50">
        <f>G60+G74+G68</f>
        <v>23408.010502283105</v>
      </c>
      <c r="H83" s="50">
        <f t="shared" ref="H83:K83" si="45">H60+H74+H68</f>
        <v>21962.215878703493</v>
      </c>
      <c r="I83" s="50">
        <f t="shared" si="45"/>
        <v>25347.249751261414</v>
      </c>
      <c r="J83" s="50">
        <f t="shared" si="45"/>
        <v>-7399.1825562483282</v>
      </c>
      <c r="K83" s="50">
        <f t="shared" si="45"/>
        <v>24484.814581153023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Title</vt:lpstr>
      <vt:lpstr>Dashboard</vt:lpstr>
      <vt:lpstr>Inputs</vt:lpstr>
      <vt:lpstr>IRR Waterfall</vt:lpstr>
      <vt:lpstr>Transaction</vt:lpstr>
      <vt:lpstr>FS</vt:lpstr>
      <vt:lpstr>Debt Schedule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Nikita Katiev</dc:creator>
  <cp:lastModifiedBy>bastonpes8@yahoo.com</cp:lastModifiedBy>
  <dcterms:created xsi:type="dcterms:W3CDTF">2015-06-05T18:19:34Z</dcterms:created>
  <dcterms:modified xsi:type="dcterms:W3CDTF">2026-04-27T14:03:55Z</dcterms:modified>
</cp:coreProperties>
</file>